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éphane\Nextcloud\Personnel\Classes\"/>
    </mc:Choice>
  </mc:AlternateContent>
  <xr:revisionPtr revIDLastSave="0" documentId="13_ncr:1_{370891E8-1EA3-43F3-82F6-A8BBE7146A17}" xr6:coauthVersionLast="47" xr6:coauthVersionMax="47" xr10:uidLastSave="{00000000-0000-0000-0000-000000000000}"/>
  <bookViews>
    <workbookView xWindow="-120" yWindow="-120" windowWidth="29040" windowHeight="15720" firstSheet="2" activeTab="10" xr2:uid="{2664A35E-D0EE-4957-AAD0-B6C9F1F57910}"/>
  </bookViews>
  <sheets>
    <sheet name="Accueil" sheetId="2" r:id="rId1"/>
    <sheet name="Liste" sheetId="3" r:id="rId2"/>
    <sheet name="Barème" sheetId="4" r:id="rId3"/>
    <sheet name="Notes" sheetId="14" r:id="rId4"/>
    <sheet name="Dispositif Chrono" sheetId="6" r:id="rId5"/>
    <sheet name="Perf.Sprint" sheetId="7" r:id="rId6"/>
    <sheet name="Clt 15m" sheetId="8" r:id="rId7"/>
    <sheet name="Clt 30m" sheetId="9" r:id="rId8"/>
    <sheet name="Dispositif Relais" sheetId="5" r:id="rId9"/>
    <sheet name="Compo.Relais(1)" sheetId="10" r:id="rId10"/>
    <sheet name="Perf.Relais(1)" sheetId="11" r:id="rId11"/>
    <sheet name="Compo.Relais(2)" sheetId="13" r:id="rId12"/>
    <sheet name="Perf.Relais(2)" sheetId="12" r:id="rId13"/>
  </sheets>
  <definedNames>
    <definedName name="Ecart_Indice">Barème!$AH$19:$AH$28</definedName>
    <definedName name="Ecart1">Barème!$AC$3:$AD$28</definedName>
    <definedName name="F_10m">Barème!$B$4:$F$10</definedName>
    <definedName name="F_15m">Barème!$H$4:$L$10</definedName>
    <definedName name="F_40m">Barème!$N$4:$R$24</definedName>
    <definedName name="F_50m">Barème!$T$4:$X$24</definedName>
    <definedName name="F10m">Barème!$B$4:$B$10</definedName>
    <definedName name="F15m">Barème!$H$3:$H$10</definedName>
    <definedName name="F40m">Barème!$N$4:$N$24</definedName>
    <definedName name="F50m">Barème!$T$4:$T$24</definedName>
    <definedName name="Frel">Barème!$Z$4:$Z$28</definedName>
    <definedName name="Indice">Barème!$AH$19:$AI$28</definedName>
    <definedName name="M_10m">Barème!$D$4:$F$10</definedName>
    <definedName name="M_15m">Barème!$J$4:$L$10</definedName>
    <definedName name="M_40m">Barème!$P$4:$R$24</definedName>
    <definedName name="M_50m">Barème!$V$4:$X$24</definedName>
    <definedName name="M10m">Barème!$D$4:$D$10</definedName>
    <definedName name="M15m">Barème!$J$4:$J$10</definedName>
    <definedName name="M40m">Barème!$P$4:$P$24</definedName>
    <definedName name="M50m">Barème!$V$4:$V$24</definedName>
    <definedName name="Mrel">Barème!$AB$4:$AB$28</definedName>
    <definedName name="Nom" localSheetId="3">OFFSET(Notes!$A$3:$A$39,0,0,COUNTIF(Notes!$A$3:$A$39,"&gt;&lt;"""))</definedName>
    <definedName name="Nom_Liste">OFFSET(Liste!$B$3:$B$39,0,0,COUNTIF(Liste!$B$3:$B$39,"&gt;&lt;"""))</definedName>
    <definedName name="Pts_Zone">Barème!$AK$11:$AK$16</definedName>
    <definedName name="rel">Barème!$AD$4:$AD$28</definedName>
    <definedName name="relais">Barème!$AD$4:$AF$28</definedName>
    <definedName name="relaisf">Barème!$Z$4:$AF$28</definedName>
    <definedName name="relaisg">Barème!$AB$4:$AF$28</definedName>
    <definedName name="Zone">Barème!$AL$11:$AL$16</definedName>
    <definedName name="_xlnm.Print_Area" localSheetId="6">'Clt 15m'!$E$3:$J$40</definedName>
    <definedName name="_xlnm.Print_Area" localSheetId="7">'Clt 30m'!$W$2:$BB$40</definedName>
    <definedName name="_xlnm.Print_Area" localSheetId="1">Liste!$B$2:$C$39</definedName>
    <definedName name="_xlnm.Print_Area" localSheetId="3">Notes!$A$2:$T$39</definedName>
    <definedName name="_xlnm.Print_Area" localSheetId="5">Perf.Sprint!$B$2:$BF$40</definedName>
  </definedNames>
  <calcPr calcId="18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3" i="14" l="1"/>
  <c r="D34" i="14"/>
  <c r="AX3" i="7"/>
  <c r="M3" i="7"/>
  <c r="Y3" i="7"/>
  <c r="G35" i="14"/>
  <c r="G36" i="14"/>
  <c r="G37" i="14"/>
  <c r="G38" i="14"/>
  <c r="G39" i="14"/>
  <c r="N6" i="4" l="1"/>
  <c r="N7" i="4" s="1"/>
  <c r="N8" i="4" s="1"/>
  <c r="N9" i="4" s="1"/>
  <c r="N10" i="4" s="1"/>
  <c r="N11" i="4" s="1"/>
  <c r="N12" i="4" s="1"/>
  <c r="N13" i="4" s="1"/>
  <c r="N14" i="4" s="1"/>
  <c r="N15" i="4" s="1"/>
  <c r="N16" i="4" s="1"/>
  <c r="N17" i="4" s="1"/>
  <c r="N18" i="4" s="1"/>
  <c r="N19" i="4" s="1"/>
  <c r="N20" i="4" s="1"/>
  <c r="N21" i="4" s="1"/>
  <c r="N22" i="4" s="1"/>
  <c r="N23" i="4" s="1"/>
  <c r="P6" i="4"/>
  <c r="P7" i="4"/>
  <c r="P8" i="4"/>
  <c r="P9" i="4"/>
  <c r="P10" i="4" s="1"/>
  <c r="P11" i="4" s="1"/>
  <c r="P12" i="4" s="1"/>
  <c r="P13" i="4" s="1"/>
  <c r="P14" i="4" s="1"/>
  <c r="P15" i="4" s="1"/>
  <c r="P16" i="4" s="1"/>
  <c r="P17" i="4" s="1"/>
  <c r="P18" i="4" s="1"/>
  <c r="P19" i="4" s="1"/>
  <c r="P20" i="4" s="1"/>
  <c r="P21" i="4" s="1"/>
  <c r="P22" i="4" s="1"/>
  <c r="P23" i="4" s="1"/>
  <c r="T6" i="4"/>
  <c r="T7" i="4" s="1"/>
  <c r="T8" i="4" s="1"/>
  <c r="T9" i="4" s="1"/>
  <c r="T10" i="4" s="1"/>
  <c r="T11" i="4" s="1"/>
  <c r="T12" i="4" s="1"/>
  <c r="T13" i="4" s="1"/>
  <c r="T14" i="4" s="1"/>
  <c r="T15" i="4" s="1"/>
  <c r="T16" i="4" s="1"/>
  <c r="T17" i="4" s="1"/>
  <c r="T18" i="4" s="1"/>
  <c r="T19" i="4" s="1"/>
  <c r="T20" i="4" s="1"/>
  <c r="T21" i="4" s="1"/>
  <c r="T22" i="4" s="1"/>
  <c r="T23" i="4" s="1"/>
  <c r="V6" i="4"/>
  <c r="V7" i="4"/>
  <c r="V8" i="4" s="1"/>
  <c r="V9" i="4" s="1"/>
  <c r="V10" i="4" s="1"/>
  <c r="V11" i="4" s="1"/>
  <c r="V12" i="4" s="1"/>
  <c r="V13" i="4" s="1"/>
  <c r="V14" i="4" s="1"/>
  <c r="V15" i="4" s="1"/>
  <c r="V16" i="4" s="1"/>
  <c r="V17" i="4" s="1"/>
  <c r="V18" i="4" s="1"/>
  <c r="V19" i="4" s="1"/>
  <c r="V20" i="4" s="1"/>
  <c r="V21" i="4" s="1"/>
  <c r="V22" i="4" s="1"/>
  <c r="V23" i="4" s="1"/>
  <c r="H6" i="4" l="1"/>
  <c r="H7" i="4" s="1"/>
  <c r="I7" i="4" s="1"/>
  <c r="J6" i="4"/>
  <c r="J7" i="4" s="1"/>
  <c r="B6" i="4"/>
  <c r="D6" i="4"/>
  <c r="M8" i="7"/>
  <c r="W4" i="12"/>
  <c r="W5" i="12"/>
  <c r="W7" i="12"/>
  <c r="W8" i="12"/>
  <c r="W10" i="12"/>
  <c r="W11" i="12"/>
  <c r="W13" i="12"/>
  <c r="W14" i="12"/>
  <c r="W16" i="12"/>
  <c r="W17" i="12"/>
  <c r="W19" i="12"/>
  <c r="W20" i="12"/>
  <c r="W22" i="12"/>
  <c r="W23" i="12"/>
  <c r="W25" i="12"/>
  <c r="W26" i="12"/>
  <c r="W28" i="12"/>
  <c r="W29" i="12"/>
  <c r="W31" i="12"/>
  <c r="W32" i="12"/>
  <c r="W34" i="12"/>
  <c r="W35" i="12"/>
  <c r="W37" i="12"/>
  <c r="W38" i="12"/>
  <c r="W40" i="12"/>
  <c r="W41" i="12"/>
  <c r="W43" i="12"/>
  <c r="W44" i="12"/>
  <c r="W46" i="12"/>
  <c r="W47" i="12"/>
  <c r="W49" i="12"/>
  <c r="W50" i="12"/>
  <c r="W52" i="12"/>
  <c r="W53" i="12"/>
  <c r="W55" i="12"/>
  <c r="W56" i="12"/>
  <c r="W58" i="12"/>
  <c r="W59" i="12"/>
  <c r="W61" i="12"/>
  <c r="W62" i="12"/>
  <c r="W64" i="12"/>
  <c r="W65" i="12"/>
  <c r="W67" i="12"/>
  <c r="W68" i="12"/>
  <c r="W70" i="12"/>
  <c r="W71" i="12"/>
  <c r="W73" i="12"/>
  <c r="W74" i="12"/>
  <c r="W76" i="12"/>
  <c r="W77" i="12"/>
  <c r="W79" i="12"/>
  <c r="W80" i="12"/>
  <c r="AB4" i="12"/>
  <c r="AC4" i="12" s="1"/>
  <c r="AB5" i="12"/>
  <c r="AC5" i="12"/>
  <c r="AB7" i="12"/>
  <c r="AC7" i="12" s="1"/>
  <c r="AB8" i="12"/>
  <c r="AC8" i="12" s="1"/>
  <c r="AB10" i="12"/>
  <c r="AC10" i="12" s="1"/>
  <c r="AB11" i="12"/>
  <c r="AC11" i="12" s="1"/>
  <c r="AD10" i="12" s="1"/>
  <c r="AB13" i="12"/>
  <c r="AC13" i="12"/>
  <c r="AB14" i="12"/>
  <c r="AC14" i="12" s="1"/>
  <c r="AB16" i="12"/>
  <c r="AC16" i="12" s="1"/>
  <c r="AB17" i="12"/>
  <c r="AC17" i="12" s="1"/>
  <c r="AB19" i="12"/>
  <c r="AC19" i="12" s="1"/>
  <c r="AB20" i="12"/>
  <c r="AC20" i="12" s="1"/>
  <c r="AB22" i="12"/>
  <c r="AC22" i="12" s="1"/>
  <c r="AB23" i="12"/>
  <c r="AC23" i="12" s="1"/>
  <c r="AB25" i="12"/>
  <c r="AC25" i="12" s="1"/>
  <c r="AB26" i="12"/>
  <c r="AC26" i="12" s="1"/>
  <c r="AD25" i="12"/>
  <c r="AB28" i="12"/>
  <c r="AC28" i="12" s="1"/>
  <c r="AB29" i="12"/>
  <c r="AC29" i="12"/>
  <c r="AD28" i="12" s="1"/>
  <c r="AB31" i="12"/>
  <c r="AC31" i="12" s="1"/>
  <c r="AB32" i="12"/>
  <c r="AC32" i="12" s="1"/>
  <c r="AB34" i="12"/>
  <c r="AC34" i="12" s="1"/>
  <c r="AB35" i="12"/>
  <c r="AC35" i="12" s="1"/>
  <c r="AD34" i="12" s="1"/>
  <c r="AB37" i="12"/>
  <c r="AC37" i="12"/>
  <c r="AB38" i="12"/>
  <c r="AC38" i="12" s="1"/>
  <c r="AB40" i="12"/>
  <c r="AC40" i="12" s="1"/>
  <c r="AB41" i="12"/>
  <c r="AC41" i="12" s="1"/>
  <c r="AB43" i="12"/>
  <c r="AC43" i="12" s="1"/>
  <c r="AB44" i="12"/>
  <c r="AC44" i="12"/>
  <c r="AB46" i="12"/>
  <c r="AC46" i="12"/>
  <c r="AB47" i="12"/>
  <c r="AC47" i="12" s="1"/>
  <c r="AB49" i="12"/>
  <c r="AC49" i="12" s="1"/>
  <c r="AB50" i="12"/>
  <c r="AC50" i="12"/>
  <c r="AB52" i="12"/>
  <c r="AC52" i="12"/>
  <c r="AD53" i="12" s="1"/>
  <c r="AB53" i="12"/>
  <c r="AC53" i="12" s="1"/>
  <c r="AB55" i="12"/>
  <c r="AC55" i="12" s="1"/>
  <c r="AB56" i="12"/>
  <c r="AC56" i="12"/>
  <c r="AB58" i="12"/>
  <c r="AC58" i="12"/>
  <c r="AB59" i="12"/>
  <c r="AC59" i="12" s="1"/>
  <c r="AB61" i="12"/>
  <c r="AC61" i="12" s="1"/>
  <c r="AB62" i="12"/>
  <c r="AC62" i="12"/>
  <c r="AB64" i="12"/>
  <c r="AC64" i="12"/>
  <c r="AD64" i="12" s="1"/>
  <c r="AB65" i="12"/>
  <c r="AC65" i="12" s="1"/>
  <c r="AB67" i="12"/>
  <c r="AC67" i="12" s="1"/>
  <c r="AB68" i="12"/>
  <c r="AC68" i="12"/>
  <c r="AB70" i="12"/>
  <c r="AC70" i="12"/>
  <c r="AB71" i="12"/>
  <c r="AC71" i="12" s="1"/>
  <c r="AD71" i="12" s="1"/>
  <c r="AB73" i="12"/>
  <c r="AC73" i="12" s="1"/>
  <c r="AB74" i="12"/>
  <c r="AC74" i="12"/>
  <c r="AB76" i="12"/>
  <c r="AC76" i="12"/>
  <c r="AD77" i="12" s="1"/>
  <c r="AB77" i="12"/>
  <c r="AC77" i="12" s="1"/>
  <c r="AB79" i="12"/>
  <c r="AC79" i="12" s="1"/>
  <c r="AB80" i="12"/>
  <c r="AC80" i="12"/>
  <c r="I39" i="14"/>
  <c r="I38" i="14"/>
  <c r="I37" i="14"/>
  <c r="I36" i="14"/>
  <c r="AG13" i="11"/>
  <c r="AH13" i="11"/>
  <c r="AI13" i="11"/>
  <c r="AG14" i="11"/>
  <c r="AH14" i="11"/>
  <c r="AJ14" i="11" s="1"/>
  <c r="AI14" i="11"/>
  <c r="AG16" i="11"/>
  <c r="AH16" i="11"/>
  <c r="AI17" i="11"/>
  <c r="AE16" i="11"/>
  <c r="AE17" i="11"/>
  <c r="AI16" i="11"/>
  <c r="AG17" i="11"/>
  <c r="AJ17" i="11" s="1"/>
  <c r="AH17" i="11"/>
  <c r="AG19" i="11"/>
  <c r="AH19" i="11"/>
  <c r="AI19" i="11"/>
  <c r="AG20" i="11"/>
  <c r="AH20" i="11"/>
  <c r="AI20" i="11"/>
  <c r="AG22" i="11"/>
  <c r="AH22" i="11"/>
  <c r="AI23" i="11"/>
  <c r="AE22" i="11"/>
  <c r="AF22" i="11" s="1"/>
  <c r="AE23" i="11"/>
  <c r="AI22" i="11"/>
  <c r="AG23" i="11"/>
  <c r="AH23" i="11"/>
  <c r="AG25" i="11"/>
  <c r="AH25" i="11"/>
  <c r="AI25" i="11"/>
  <c r="AG26" i="11"/>
  <c r="AH26" i="11"/>
  <c r="AI26" i="11"/>
  <c r="AG28" i="11"/>
  <c r="AH28" i="11"/>
  <c r="AI29" i="11"/>
  <c r="AE28" i="11"/>
  <c r="AF28" i="11" s="1"/>
  <c r="AE29" i="11"/>
  <c r="AI28" i="11"/>
  <c r="AG29" i="11"/>
  <c r="AH29" i="11"/>
  <c r="AG31" i="11"/>
  <c r="AH31" i="11"/>
  <c r="AI31" i="11"/>
  <c r="AG32" i="11"/>
  <c r="AH32" i="11"/>
  <c r="AI32" i="11"/>
  <c r="AG34" i="11"/>
  <c r="AJ34" i="11" s="1"/>
  <c r="AH34" i="11"/>
  <c r="AI35" i="11"/>
  <c r="AE34" i="11"/>
  <c r="AE35" i="11"/>
  <c r="AF34" i="11" s="1"/>
  <c r="AI34" i="11"/>
  <c r="AG35" i="11"/>
  <c r="AH35" i="11"/>
  <c r="AG37" i="11"/>
  <c r="AH37" i="11"/>
  <c r="AI37" i="11"/>
  <c r="AG38" i="11"/>
  <c r="AH38" i="11"/>
  <c r="AJ38" i="11" s="1"/>
  <c r="AI38" i="11"/>
  <c r="AG40" i="11"/>
  <c r="AJ40" i="11" s="1"/>
  <c r="AH40" i="11"/>
  <c r="AI41" i="11"/>
  <c r="AE40" i="11"/>
  <c r="AE41" i="11"/>
  <c r="AF40" i="11"/>
  <c r="AK40" i="11" s="1"/>
  <c r="AI40" i="11"/>
  <c r="AG41" i="11"/>
  <c r="AJ41" i="11" s="1"/>
  <c r="AH41" i="11"/>
  <c r="AF41" i="11"/>
  <c r="AK41" i="11" s="1"/>
  <c r="AG43" i="11"/>
  <c r="AJ43" i="11" s="1"/>
  <c r="AH43" i="11"/>
  <c r="AI43" i="11"/>
  <c r="AG44" i="11"/>
  <c r="AH44" i="11"/>
  <c r="AJ44" i="11" s="1"/>
  <c r="AK44" i="11" s="1"/>
  <c r="AI44" i="11"/>
  <c r="AG46" i="11"/>
  <c r="AJ46" i="11" s="1"/>
  <c r="AH46" i="11"/>
  <c r="AI47" i="11"/>
  <c r="AE46" i="11"/>
  <c r="AE47" i="11"/>
  <c r="AF46" i="11"/>
  <c r="AI46" i="11"/>
  <c r="AG47" i="11"/>
  <c r="AJ47" i="11" s="1"/>
  <c r="AH47" i="11"/>
  <c r="AF47" i="11"/>
  <c r="AG49" i="11"/>
  <c r="AJ49" i="11" s="1"/>
  <c r="AH49" i="11"/>
  <c r="AI49" i="11"/>
  <c r="AG50" i="11"/>
  <c r="AJ50" i="11" s="1"/>
  <c r="AH50" i="11"/>
  <c r="AI50" i="11"/>
  <c r="AG52" i="11"/>
  <c r="AJ52" i="11" s="1"/>
  <c r="AH52" i="11"/>
  <c r="AI53" i="11"/>
  <c r="AE52" i="11"/>
  <c r="AE53" i="11"/>
  <c r="AF52" i="11"/>
  <c r="AI52" i="11"/>
  <c r="AG53" i="11"/>
  <c r="AJ53" i="11" s="1"/>
  <c r="AH53" i="11"/>
  <c r="AF53" i="11"/>
  <c r="AG55" i="11"/>
  <c r="AJ55" i="11" s="1"/>
  <c r="AH55" i="11"/>
  <c r="AI55" i="11"/>
  <c r="AG56" i="11"/>
  <c r="AH56" i="11"/>
  <c r="AI56" i="11"/>
  <c r="AG58" i="11"/>
  <c r="AH58" i="11"/>
  <c r="AI59" i="11"/>
  <c r="AJ58" i="11" s="1"/>
  <c r="AE58" i="11"/>
  <c r="AE59" i="11"/>
  <c r="AF58" i="11"/>
  <c r="AI58" i="11"/>
  <c r="AG59" i="11"/>
  <c r="AH59" i="11"/>
  <c r="AJ59" i="11" s="1"/>
  <c r="AF59" i="11"/>
  <c r="AK59" i="11" s="1"/>
  <c r="AG61" i="11"/>
  <c r="AJ61" i="11" s="1"/>
  <c r="AH61" i="11"/>
  <c r="AI61" i="11"/>
  <c r="AG62" i="11"/>
  <c r="AH62" i="11"/>
  <c r="AJ62" i="11" s="1"/>
  <c r="AI62" i="11"/>
  <c r="AG64" i="11"/>
  <c r="AJ64" i="11" s="1"/>
  <c r="AH64" i="11"/>
  <c r="AI65" i="11"/>
  <c r="AE64" i="11"/>
  <c r="AE65" i="11"/>
  <c r="AF64" i="11"/>
  <c r="AI64" i="11"/>
  <c r="AG65" i="11"/>
  <c r="AJ65" i="11" s="1"/>
  <c r="AH65" i="11"/>
  <c r="AF65" i="11"/>
  <c r="AG67" i="11"/>
  <c r="AJ67" i="11" s="1"/>
  <c r="AH67" i="11"/>
  <c r="AI67" i="11"/>
  <c r="AG68" i="11"/>
  <c r="AH68" i="11"/>
  <c r="AJ68" i="11" s="1"/>
  <c r="AI68" i="11"/>
  <c r="AG70" i="11"/>
  <c r="AJ70" i="11" s="1"/>
  <c r="AH70" i="11"/>
  <c r="AI71" i="11"/>
  <c r="AE70" i="11"/>
  <c r="AE71" i="11"/>
  <c r="AF70" i="11"/>
  <c r="AI70" i="11"/>
  <c r="AG71" i="11"/>
  <c r="AJ71" i="11" s="1"/>
  <c r="AH71" i="11"/>
  <c r="AF71" i="11"/>
  <c r="AG73" i="11"/>
  <c r="AJ73" i="11" s="1"/>
  <c r="AH73" i="11"/>
  <c r="AI73" i="11"/>
  <c r="AG74" i="11"/>
  <c r="AJ74" i="11" s="1"/>
  <c r="AH74" i="11"/>
  <c r="AI74" i="11"/>
  <c r="AG76" i="11"/>
  <c r="AJ76" i="11" s="1"/>
  <c r="AH76" i="11"/>
  <c r="AI77" i="11"/>
  <c r="AE76" i="11"/>
  <c r="AE77" i="11"/>
  <c r="AF76" i="11"/>
  <c r="AI76" i="11"/>
  <c r="AG77" i="11"/>
  <c r="AJ77" i="11" s="1"/>
  <c r="AH77" i="11"/>
  <c r="AF77" i="11"/>
  <c r="AG79" i="11"/>
  <c r="AH79" i="11"/>
  <c r="AI79" i="11"/>
  <c r="AG80" i="11"/>
  <c r="AJ80" i="11" s="1"/>
  <c r="AH80" i="11"/>
  <c r="AI80" i="11"/>
  <c r="AG7" i="11"/>
  <c r="AH7" i="11"/>
  <c r="AI8" i="11"/>
  <c r="AG8" i="11"/>
  <c r="AH8" i="11"/>
  <c r="AI7" i="11"/>
  <c r="AG10" i="11"/>
  <c r="AH10" i="11"/>
  <c r="AI11" i="11"/>
  <c r="AE10" i="11"/>
  <c r="AE11" i="11"/>
  <c r="AG11" i="11"/>
  <c r="AH11" i="11"/>
  <c r="AI10" i="11"/>
  <c r="AE19" i="11"/>
  <c r="AE20" i="11"/>
  <c r="AE31" i="11"/>
  <c r="AE32" i="11"/>
  <c r="AJ37" i="11"/>
  <c r="AE43" i="11"/>
  <c r="AE44" i="11"/>
  <c r="AF43" i="11"/>
  <c r="AF44" i="11"/>
  <c r="AE50" i="11"/>
  <c r="AF50" i="11" s="1"/>
  <c r="AE49" i="11"/>
  <c r="AF49" i="11" s="1"/>
  <c r="AE55" i="11"/>
  <c r="AF56" i="11" s="1"/>
  <c r="AK56" i="11" s="1"/>
  <c r="AE56" i="11"/>
  <c r="AJ56" i="11"/>
  <c r="AE67" i="11"/>
  <c r="AF67" i="11" s="1"/>
  <c r="AE68" i="11"/>
  <c r="AF68" i="11" s="1"/>
  <c r="AJ79" i="11"/>
  <c r="AE79" i="11"/>
  <c r="AF80" i="11" s="1"/>
  <c r="AK80" i="11" s="1"/>
  <c r="AE80" i="11"/>
  <c r="AF79" i="11"/>
  <c r="AK79" i="11"/>
  <c r="AE7" i="11"/>
  <c r="AE8" i="11"/>
  <c r="AE13" i="11"/>
  <c r="AE14" i="11"/>
  <c r="AE25" i="11"/>
  <c r="AE26" i="11"/>
  <c r="AF25" i="11"/>
  <c r="AF26" i="11"/>
  <c r="AE37" i="11"/>
  <c r="AE38" i="11"/>
  <c r="AF37" i="11"/>
  <c r="AK37" i="11" s="1"/>
  <c r="AF38" i="11"/>
  <c r="AK38" i="11" s="1"/>
  <c r="AE61" i="11"/>
  <c r="AF61" i="11" s="1"/>
  <c r="AE62" i="11"/>
  <c r="AE73" i="11"/>
  <c r="AE74" i="11"/>
  <c r="AF74" i="11" s="1"/>
  <c r="AK74" i="11" s="1"/>
  <c r="AF73" i="11"/>
  <c r="AE5" i="11"/>
  <c r="AE4" i="11"/>
  <c r="AG5" i="11"/>
  <c r="AH5" i="11"/>
  <c r="AI4" i="11"/>
  <c r="AG4" i="11"/>
  <c r="AH4" i="11"/>
  <c r="AI5" i="11"/>
  <c r="B36" i="3"/>
  <c r="A36" i="14"/>
  <c r="D36" i="14"/>
  <c r="B37" i="3"/>
  <c r="A37" i="14"/>
  <c r="D37" i="14"/>
  <c r="B38" i="3"/>
  <c r="A38" i="14"/>
  <c r="D38" i="14"/>
  <c r="B39" i="3"/>
  <c r="A39" i="14"/>
  <c r="D39" i="14"/>
  <c r="F10" i="3"/>
  <c r="B10" i="3" s="1"/>
  <c r="AA11" i="13" s="1"/>
  <c r="AB11" i="13" s="1"/>
  <c r="H36" i="14"/>
  <c r="H37" i="14"/>
  <c r="H38" i="14"/>
  <c r="H39" i="14"/>
  <c r="Q81" i="11"/>
  <c r="N81" i="11"/>
  <c r="AG4" i="12"/>
  <c r="AG5" i="12"/>
  <c r="AG7" i="12"/>
  <c r="AG8" i="12"/>
  <c r="AG9" i="12"/>
  <c r="AG10" i="12"/>
  <c r="AG11" i="12"/>
  <c r="AG13" i="12"/>
  <c r="AG14" i="12"/>
  <c r="AG16" i="12"/>
  <c r="AG17" i="12"/>
  <c r="AG19" i="12"/>
  <c r="AG20" i="12"/>
  <c r="AG22" i="12"/>
  <c r="AG23" i="12"/>
  <c r="AG25" i="12"/>
  <c r="AG26" i="12"/>
  <c r="AG28" i="12"/>
  <c r="AG29" i="12"/>
  <c r="AG31" i="12"/>
  <c r="AG32" i="12"/>
  <c r="AG34" i="12"/>
  <c r="AG35" i="12"/>
  <c r="AG37" i="12"/>
  <c r="AG38" i="12"/>
  <c r="AG40" i="12"/>
  <c r="AG41" i="12"/>
  <c r="AG43" i="12"/>
  <c r="AG44" i="12"/>
  <c r="AG46" i="12"/>
  <c r="AG47" i="12"/>
  <c r="AG49" i="12"/>
  <c r="AG50" i="12"/>
  <c r="AG52" i="12"/>
  <c r="AG53" i="12"/>
  <c r="AG55" i="12"/>
  <c r="AG56" i="12"/>
  <c r="AG58" i="12"/>
  <c r="AG59" i="12"/>
  <c r="AG61" i="12"/>
  <c r="AG62" i="12"/>
  <c r="AG64" i="12"/>
  <c r="AG65" i="12"/>
  <c r="AG67" i="12"/>
  <c r="AG68" i="12"/>
  <c r="AG70" i="12"/>
  <c r="AG71" i="12"/>
  <c r="AG73" i="12"/>
  <c r="AG74" i="12"/>
  <c r="AG76" i="12"/>
  <c r="AG77" i="12"/>
  <c r="AG79" i="12"/>
  <c r="AG80" i="12"/>
  <c r="AG81" i="12"/>
  <c r="AH4" i="12"/>
  <c r="AH5" i="12"/>
  <c r="AH7" i="12"/>
  <c r="AH8" i="12"/>
  <c r="AH10" i="12"/>
  <c r="AH11" i="12"/>
  <c r="AH13" i="12"/>
  <c r="AH14" i="12"/>
  <c r="AH16" i="12"/>
  <c r="AH17" i="12"/>
  <c r="AH19" i="12"/>
  <c r="AH20" i="12"/>
  <c r="AH22" i="12"/>
  <c r="AH23" i="12"/>
  <c r="AH25" i="12"/>
  <c r="AH26" i="12"/>
  <c r="AH28" i="12"/>
  <c r="AH29" i="12"/>
  <c r="AH31" i="12"/>
  <c r="AH32" i="12"/>
  <c r="AH34" i="12"/>
  <c r="AH35" i="12"/>
  <c r="AH37" i="12"/>
  <c r="AH38" i="12"/>
  <c r="AH40" i="12"/>
  <c r="AH41" i="12"/>
  <c r="AH43" i="12"/>
  <c r="AH44" i="12"/>
  <c r="AH46" i="12"/>
  <c r="AH47" i="12"/>
  <c r="AH49" i="12"/>
  <c r="AH50" i="12"/>
  <c r="AH52" i="12"/>
  <c r="AH53" i="12"/>
  <c r="AH55" i="12"/>
  <c r="AH56" i="12"/>
  <c r="AH58" i="12"/>
  <c r="AH59" i="12"/>
  <c r="AH61" i="12"/>
  <c r="AH62" i="12"/>
  <c r="AH64" i="12"/>
  <c r="AH65" i="12"/>
  <c r="AH67" i="12"/>
  <c r="AH68" i="12"/>
  <c r="AH70" i="12"/>
  <c r="AH71" i="12"/>
  <c r="AH73" i="12"/>
  <c r="AH74" i="12"/>
  <c r="AH76" i="12"/>
  <c r="AH77" i="12"/>
  <c r="AH79" i="12"/>
  <c r="AH80" i="12"/>
  <c r="AH81" i="12"/>
  <c r="AI4" i="12"/>
  <c r="AI5" i="12"/>
  <c r="AI7" i="12"/>
  <c r="AI8" i="12"/>
  <c r="AI10" i="12"/>
  <c r="AI11" i="12"/>
  <c r="AI13" i="12"/>
  <c r="AI14" i="12"/>
  <c r="AI16" i="12"/>
  <c r="AI17" i="12"/>
  <c r="AI19" i="12"/>
  <c r="AI20" i="12"/>
  <c r="AI22" i="12"/>
  <c r="AI23" i="12"/>
  <c r="AI25" i="12"/>
  <c r="AI26" i="12"/>
  <c r="AI28" i="12"/>
  <c r="AI29" i="12"/>
  <c r="AI31" i="12"/>
  <c r="AI32" i="12"/>
  <c r="AI34" i="12"/>
  <c r="AI35" i="12"/>
  <c r="AI37" i="12"/>
  <c r="AI38" i="12"/>
  <c r="AI40" i="12"/>
  <c r="AI41" i="12"/>
  <c r="AI43" i="12"/>
  <c r="AI44" i="12"/>
  <c r="AI46" i="12"/>
  <c r="AI47" i="12"/>
  <c r="AI49" i="12"/>
  <c r="AI50" i="12"/>
  <c r="AI52" i="12"/>
  <c r="AI53" i="12"/>
  <c r="AI55" i="12"/>
  <c r="AI56" i="12"/>
  <c r="AI58" i="12"/>
  <c r="AI59" i="12"/>
  <c r="AI61" i="12"/>
  <c r="AI62" i="12"/>
  <c r="AI64" i="12"/>
  <c r="AI65" i="12"/>
  <c r="AI67" i="12"/>
  <c r="AI68" i="12"/>
  <c r="AI70" i="12"/>
  <c r="AI71" i="12"/>
  <c r="AI73" i="12"/>
  <c r="AI74" i="12"/>
  <c r="AI76" i="12"/>
  <c r="AI77" i="12"/>
  <c r="AI79" i="12"/>
  <c r="AI80" i="12"/>
  <c r="AI81" i="12"/>
  <c r="AJ4" i="12"/>
  <c r="AJ5" i="12"/>
  <c r="AJ7" i="12"/>
  <c r="AJ8" i="12"/>
  <c r="AJ10" i="12"/>
  <c r="AJ11" i="12"/>
  <c r="AJ13" i="12"/>
  <c r="AJ14" i="12"/>
  <c r="AJ16" i="12"/>
  <c r="AJ17" i="12"/>
  <c r="AJ19" i="12"/>
  <c r="AJ20" i="12"/>
  <c r="AJ22" i="12"/>
  <c r="AJ23" i="12"/>
  <c r="AJ25" i="12"/>
  <c r="AJ26" i="12"/>
  <c r="AJ28" i="12"/>
  <c r="AJ29" i="12"/>
  <c r="AJ31" i="12"/>
  <c r="AJ32" i="12"/>
  <c r="AJ34" i="12"/>
  <c r="AJ35" i="12"/>
  <c r="AJ37" i="12"/>
  <c r="AJ38" i="12"/>
  <c r="AJ40" i="12"/>
  <c r="AJ41" i="12"/>
  <c r="AJ43" i="12"/>
  <c r="AJ44" i="12"/>
  <c r="AJ46" i="12"/>
  <c r="AJ47" i="12"/>
  <c r="AJ49" i="12"/>
  <c r="AJ50" i="12"/>
  <c r="AJ52" i="12"/>
  <c r="AJ53" i="12"/>
  <c r="AJ55" i="12"/>
  <c r="AJ56" i="12"/>
  <c r="AJ58" i="12"/>
  <c r="AJ59" i="12"/>
  <c r="AJ61" i="12"/>
  <c r="AJ62" i="12"/>
  <c r="AJ64" i="12"/>
  <c r="AJ65" i="12"/>
  <c r="AJ67" i="12"/>
  <c r="AJ68" i="12"/>
  <c r="AJ70" i="12"/>
  <c r="AJ71" i="12"/>
  <c r="AJ73" i="12"/>
  <c r="AJ74" i="12"/>
  <c r="AJ76" i="12"/>
  <c r="AJ77" i="12"/>
  <c r="AJ79" i="12"/>
  <c r="AJ80" i="12"/>
  <c r="AJ81" i="12"/>
  <c r="V4" i="12"/>
  <c r="V5" i="12"/>
  <c r="V7" i="12"/>
  <c r="V8" i="12"/>
  <c r="V10" i="12"/>
  <c r="V11" i="12"/>
  <c r="V13" i="12"/>
  <c r="V14" i="12"/>
  <c r="V16" i="12"/>
  <c r="V17" i="12"/>
  <c r="V19" i="12"/>
  <c r="V20" i="12"/>
  <c r="V22" i="12"/>
  <c r="V23" i="12"/>
  <c r="V25" i="12"/>
  <c r="V26" i="12"/>
  <c r="V28" i="12"/>
  <c r="V29" i="12"/>
  <c r="V31" i="12"/>
  <c r="V32" i="12"/>
  <c r="V34" i="12"/>
  <c r="V35" i="12"/>
  <c r="V37" i="12"/>
  <c r="V38" i="12"/>
  <c r="V40" i="12"/>
  <c r="V41" i="12"/>
  <c r="V43" i="12"/>
  <c r="V44" i="12"/>
  <c r="V46" i="12"/>
  <c r="V47" i="12"/>
  <c r="V49" i="12"/>
  <c r="V50" i="12"/>
  <c r="V52" i="12"/>
  <c r="V53" i="12"/>
  <c r="V55" i="12"/>
  <c r="V56" i="12"/>
  <c r="V58" i="12"/>
  <c r="V59" i="12"/>
  <c r="V61" i="12"/>
  <c r="V62" i="12"/>
  <c r="V64" i="12"/>
  <c r="V65" i="12"/>
  <c r="V67" i="12"/>
  <c r="V68" i="12"/>
  <c r="V70" i="12"/>
  <c r="V71" i="12"/>
  <c r="V73" i="12"/>
  <c r="V74" i="12"/>
  <c r="V76" i="12"/>
  <c r="V77" i="12"/>
  <c r="V79" i="12"/>
  <c r="V80" i="12"/>
  <c r="V81" i="12"/>
  <c r="N81" i="12"/>
  <c r="O4" i="12"/>
  <c r="O5" i="12"/>
  <c r="O7" i="12"/>
  <c r="O8" i="12"/>
  <c r="O10" i="12"/>
  <c r="O11" i="12"/>
  <c r="O13" i="12"/>
  <c r="O14" i="12"/>
  <c r="O16" i="12"/>
  <c r="O17" i="12"/>
  <c r="O19" i="12"/>
  <c r="O20" i="12"/>
  <c r="O22" i="12"/>
  <c r="O23" i="12"/>
  <c r="O25" i="12"/>
  <c r="O26" i="12"/>
  <c r="O28" i="12"/>
  <c r="O29" i="12"/>
  <c r="O31" i="12"/>
  <c r="O32" i="12"/>
  <c r="O34" i="12"/>
  <c r="O35" i="12"/>
  <c r="O37" i="12"/>
  <c r="O38" i="12"/>
  <c r="O40" i="12"/>
  <c r="O41" i="12"/>
  <c r="O43" i="12"/>
  <c r="O44" i="12"/>
  <c r="O46" i="12"/>
  <c r="O47" i="12"/>
  <c r="O49" i="12"/>
  <c r="O50" i="12"/>
  <c r="O52" i="12"/>
  <c r="O53" i="12"/>
  <c r="O55" i="12"/>
  <c r="O56" i="12"/>
  <c r="O58" i="12"/>
  <c r="O59" i="12"/>
  <c r="O61" i="12"/>
  <c r="O62" i="12"/>
  <c r="O64" i="12"/>
  <c r="O65" i="12"/>
  <c r="O67" i="12"/>
  <c r="O68" i="12"/>
  <c r="O70" i="12"/>
  <c r="O71" i="12"/>
  <c r="O73" i="12"/>
  <c r="O74" i="12"/>
  <c r="O76" i="12"/>
  <c r="O77" i="12"/>
  <c r="O79" i="12"/>
  <c r="O80" i="12"/>
  <c r="O81" i="12"/>
  <c r="P4" i="12"/>
  <c r="P5" i="12"/>
  <c r="P7" i="12"/>
  <c r="P8" i="12"/>
  <c r="P10" i="12"/>
  <c r="P11" i="12"/>
  <c r="P13" i="12"/>
  <c r="P14" i="12"/>
  <c r="P16" i="12"/>
  <c r="P17" i="12"/>
  <c r="P19" i="12"/>
  <c r="P20" i="12"/>
  <c r="P22" i="12"/>
  <c r="P23" i="12"/>
  <c r="P25" i="12"/>
  <c r="P26" i="12"/>
  <c r="P28" i="12"/>
  <c r="P29" i="12"/>
  <c r="P31" i="12"/>
  <c r="P32" i="12"/>
  <c r="P34" i="12"/>
  <c r="P35" i="12"/>
  <c r="P37" i="12"/>
  <c r="P38" i="12"/>
  <c r="P40" i="12"/>
  <c r="P41" i="12"/>
  <c r="P43" i="12"/>
  <c r="P44" i="12"/>
  <c r="P46" i="12"/>
  <c r="P47" i="12"/>
  <c r="P49" i="12"/>
  <c r="P50" i="12"/>
  <c r="P52" i="12"/>
  <c r="P53" i="12"/>
  <c r="P55" i="12"/>
  <c r="P56" i="12"/>
  <c r="P58" i="12"/>
  <c r="P59" i="12"/>
  <c r="P61" i="12"/>
  <c r="P62" i="12"/>
  <c r="P64" i="12"/>
  <c r="P65" i="12"/>
  <c r="P67" i="12"/>
  <c r="P68" i="12"/>
  <c r="P70" i="12"/>
  <c r="P71" i="12"/>
  <c r="P73" i="12"/>
  <c r="P74" i="12"/>
  <c r="P76" i="12"/>
  <c r="P77" i="12"/>
  <c r="P79" i="12"/>
  <c r="P80" i="12"/>
  <c r="P81" i="12"/>
  <c r="Q81" i="12"/>
  <c r="AE80" i="12"/>
  <c r="AE79" i="12"/>
  <c r="AF80" i="12"/>
  <c r="AF79" i="12"/>
  <c r="AK79" i="12"/>
  <c r="AE78" i="12"/>
  <c r="AE77" i="12"/>
  <c r="AE76" i="12"/>
  <c r="AF77" i="12"/>
  <c r="AK77" i="12"/>
  <c r="AF76" i="12"/>
  <c r="AE75" i="12"/>
  <c r="AE74" i="12"/>
  <c r="AE73" i="12"/>
  <c r="AF74" i="12"/>
  <c r="AF73" i="12"/>
  <c r="AK73" i="12"/>
  <c r="AE72" i="12"/>
  <c r="AE71" i="12"/>
  <c r="AE70" i="12"/>
  <c r="AF71" i="12"/>
  <c r="AK71" i="12"/>
  <c r="AE69" i="12"/>
  <c r="AE68" i="12"/>
  <c r="AE67" i="12"/>
  <c r="AE66" i="12"/>
  <c r="AE65" i="12"/>
  <c r="AE64" i="12"/>
  <c r="AF64" i="12"/>
  <c r="AK64" i="12"/>
  <c r="AE63" i="12"/>
  <c r="AE62" i="12"/>
  <c r="AE61" i="12"/>
  <c r="AE60" i="12"/>
  <c r="AE59" i="12"/>
  <c r="AE58" i="12"/>
  <c r="AE57" i="12"/>
  <c r="AE56" i="12"/>
  <c r="AE55" i="12"/>
  <c r="AE54" i="12"/>
  <c r="AE53" i="12"/>
  <c r="AE52" i="12"/>
  <c r="AF53" i="12"/>
  <c r="AF52" i="12"/>
  <c r="AE51" i="12"/>
  <c r="AE50" i="12"/>
  <c r="AE49" i="12"/>
  <c r="AE48" i="12"/>
  <c r="AE47" i="12"/>
  <c r="AE46" i="12"/>
  <c r="AF47" i="12"/>
  <c r="AK47" i="12"/>
  <c r="AF46" i="12"/>
  <c r="AK46" i="12"/>
  <c r="AE45" i="12"/>
  <c r="AE44" i="12"/>
  <c r="AE43" i="12"/>
  <c r="AF44" i="12"/>
  <c r="AF43" i="12"/>
  <c r="AK43" i="12"/>
  <c r="AE42" i="12"/>
  <c r="AE41" i="12"/>
  <c r="AE40" i="12"/>
  <c r="AE39" i="12"/>
  <c r="AE38" i="12"/>
  <c r="AE37" i="12"/>
  <c r="AF37" i="12"/>
  <c r="AK37" i="12"/>
  <c r="AE36" i="12"/>
  <c r="AE35" i="12"/>
  <c r="AE34" i="12"/>
  <c r="AF35" i="12"/>
  <c r="AK35" i="12"/>
  <c r="AE33" i="12"/>
  <c r="AE32" i="12"/>
  <c r="AE31" i="12"/>
  <c r="AF32" i="12"/>
  <c r="AK32" i="12"/>
  <c r="AE30" i="12"/>
  <c r="AE29" i="12"/>
  <c r="AE28" i="12"/>
  <c r="AF28" i="12"/>
  <c r="AK28" i="12"/>
  <c r="AE27" i="12"/>
  <c r="AE26" i="12"/>
  <c r="AE25" i="12"/>
  <c r="AF25" i="12"/>
  <c r="AE24" i="12"/>
  <c r="AE23" i="12"/>
  <c r="AE22" i="12"/>
  <c r="AF22" i="12"/>
  <c r="AK22" i="12"/>
  <c r="AE21" i="12"/>
  <c r="AE20" i="12"/>
  <c r="AE19" i="12"/>
  <c r="AF20" i="12"/>
  <c r="AF19" i="12"/>
  <c r="AK19" i="12"/>
  <c r="AE18" i="12"/>
  <c r="AE17" i="12"/>
  <c r="AE16" i="12"/>
  <c r="AF16" i="12"/>
  <c r="AK16" i="12"/>
  <c r="AE15" i="12"/>
  <c r="AE14" i="12"/>
  <c r="AE13" i="12"/>
  <c r="AF14" i="12"/>
  <c r="AK14" i="12"/>
  <c r="AE12" i="12"/>
  <c r="AE11" i="12"/>
  <c r="AE10" i="12"/>
  <c r="AF11" i="12"/>
  <c r="AK11" i="12"/>
  <c r="AE9" i="12"/>
  <c r="AE8" i="12"/>
  <c r="AE7" i="12"/>
  <c r="AF7" i="12"/>
  <c r="AE5" i="12"/>
  <c r="AE4" i="12"/>
  <c r="AE81" i="12"/>
  <c r="AE75" i="11"/>
  <c r="O76" i="11"/>
  <c r="P76" i="11"/>
  <c r="V76" i="11"/>
  <c r="O77" i="11"/>
  <c r="P77" i="11"/>
  <c r="V77" i="11"/>
  <c r="AE78" i="11"/>
  <c r="O79" i="11"/>
  <c r="P79" i="11"/>
  <c r="V79" i="11"/>
  <c r="O80" i="11"/>
  <c r="P80" i="11"/>
  <c r="V80" i="11"/>
  <c r="V74" i="11"/>
  <c r="O74" i="11"/>
  <c r="P74" i="11" s="1"/>
  <c r="V73" i="11"/>
  <c r="O73" i="11"/>
  <c r="P73" i="11" s="1"/>
  <c r="AE72" i="11"/>
  <c r="V71" i="11"/>
  <c r="O71" i="11"/>
  <c r="P71" i="11" s="1"/>
  <c r="V70" i="11"/>
  <c r="O70" i="11"/>
  <c r="P70" i="11" s="1"/>
  <c r="AE69" i="11"/>
  <c r="AA41" i="13"/>
  <c r="AB41" i="13"/>
  <c r="AA40" i="13"/>
  <c r="AB40" i="13"/>
  <c r="AA39" i="13"/>
  <c r="AB39" i="13"/>
  <c r="AA38" i="13"/>
  <c r="AB38" i="13"/>
  <c r="AA37" i="13"/>
  <c r="AB37" i="13"/>
  <c r="F35" i="3"/>
  <c r="B35" i="3"/>
  <c r="AA36" i="13"/>
  <c r="AB36" i="13"/>
  <c r="F34" i="3"/>
  <c r="B34" i="3" s="1"/>
  <c r="AA35" i="13" s="1"/>
  <c r="AB35" i="13" s="1"/>
  <c r="F33" i="3"/>
  <c r="B33" i="3" s="1"/>
  <c r="E34" i="9" s="1"/>
  <c r="F32" i="3"/>
  <c r="B32" i="3" s="1"/>
  <c r="F31" i="3"/>
  <c r="B31" i="3" s="1"/>
  <c r="F30" i="3"/>
  <c r="B30" i="3" s="1"/>
  <c r="AA31" i="13" s="1"/>
  <c r="AB31" i="13" s="1"/>
  <c r="F29" i="3"/>
  <c r="B29" i="3" s="1"/>
  <c r="E30" i="8" s="1"/>
  <c r="F28" i="3"/>
  <c r="B28" i="3" s="1"/>
  <c r="E29" i="9" s="1"/>
  <c r="O29" i="13"/>
  <c r="N29" i="13"/>
  <c r="J29" i="13"/>
  <c r="I29" i="13"/>
  <c r="H29" i="13" a="1"/>
  <c r="H29" i="13" s="1"/>
  <c r="G29" i="13"/>
  <c r="D29" i="13" a="1"/>
  <c r="D29" i="13" s="1"/>
  <c r="C29" i="13"/>
  <c r="F27" i="3"/>
  <c r="B27" i="3"/>
  <c r="E28" i="9" s="1"/>
  <c r="G28" i="9" s="1"/>
  <c r="O28" i="13"/>
  <c r="N28" i="13"/>
  <c r="J28" i="13"/>
  <c r="I28" i="13"/>
  <c r="H28" i="13" a="1"/>
  <c r="H28" i="13" s="1"/>
  <c r="G28" i="13"/>
  <c r="D28" i="13" a="1"/>
  <c r="D28" i="13" s="1"/>
  <c r="C28" i="13"/>
  <c r="F26" i="3"/>
  <c r="B26" i="3"/>
  <c r="O27" i="13"/>
  <c r="N27" i="13"/>
  <c r="J27" i="13"/>
  <c r="I27" i="13"/>
  <c r="H27" i="13" a="1"/>
  <c r="H27" i="13" s="1"/>
  <c r="G27" i="13"/>
  <c r="D27" i="13" a="1"/>
  <c r="D27" i="13" s="1"/>
  <c r="C27" i="13"/>
  <c r="F25" i="3"/>
  <c r="B25" i="3" s="1"/>
  <c r="O26" i="13"/>
  <c r="N26" i="13"/>
  <c r="J26" i="13"/>
  <c r="I26" i="13"/>
  <c r="H26" i="13" a="1"/>
  <c r="H26" i="13" s="1"/>
  <c r="G26" i="13"/>
  <c r="D26" i="13" a="1"/>
  <c r="D26" i="13" s="1"/>
  <c r="C26" i="13"/>
  <c r="F24" i="3"/>
  <c r="B24" i="3" s="1"/>
  <c r="O25" i="13"/>
  <c r="N25" i="13"/>
  <c r="J25" i="13"/>
  <c r="I25" i="13"/>
  <c r="H25" i="13" a="1"/>
  <c r="H25" i="13" s="1"/>
  <c r="G25" i="13"/>
  <c r="D25" i="13" a="1"/>
  <c r="D25" i="13" s="1"/>
  <c r="C25" i="13"/>
  <c r="F23" i="3"/>
  <c r="B23" i="3"/>
  <c r="O24" i="13"/>
  <c r="N24" i="13"/>
  <c r="J24" i="13"/>
  <c r="I24" i="13"/>
  <c r="H24" i="13" a="1"/>
  <c r="H24" i="13" s="1"/>
  <c r="G24" i="13"/>
  <c r="D24" i="13" a="1"/>
  <c r="D24" i="13" s="1"/>
  <c r="C24" i="13"/>
  <c r="F22" i="3"/>
  <c r="B22" i="3"/>
  <c r="AA23" i="13" s="1"/>
  <c r="O23" i="13"/>
  <c r="N23" i="13"/>
  <c r="J23" i="13"/>
  <c r="I23" i="13"/>
  <c r="H23" i="13" a="1"/>
  <c r="H23" i="13" s="1"/>
  <c r="G23" i="13"/>
  <c r="D23" i="13" a="1"/>
  <c r="D23" i="13" s="1"/>
  <c r="C23" i="13"/>
  <c r="F21" i="3"/>
  <c r="B21" i="3" s="1"/>
  <c r="A21" i="14" s="1"/>
  <c r="O22" i="13"/>
  <c r="N22" i="13"/>
  <c r="J22" i="13"/>
  <c r="I22" i="13"/>
  <c r="H22" i="13" a="1"/>
  <c r="H22" i="13" s="1"/>
  <c r="G22" i="13"/>
  <c r="D22" i="13" a="1"/>
  <c r="D22" i="13" s="1"/>
  <c r="C22" i="13"/>
  <c r="F20" i="3"/>
  <c r="B20" i="3"/>
  <c r="O21" i="13"/>
  <c r="N21" i="13"/>
  <c r="J21" i="13"/>
  <c r="I21" i="13"/>
  <c r="H21" i="13" a="1"/>
  <c r="H21" i="13" s="1"/>
  <c r="G21" i="13"/>
  <c r="D21" i="13" a="1"/>
  <c r="D21" i="13" s="1"/>
  <c r="C21" i="13"/>
  <c r="F19" i="3"/>
  <c r="B19" i="3" s="1"/>
  <c r="AA20" i="10" s="1"/>
  <c r="O20" i="13"/>
  <c r="N20" i="13"/>
  <c r="J20" i="13"/>
  <c r="I20" i="13"/>
  <c r="H20" i="13" a="1"/>
  <c r="H20" i="13" s="1"/>
  <c r="G20" i="13"/>
  <c r="D20" i="13" a="1"/>
  <c r="D20" i="13" s="1"/>
  <c r="C20" i="13"/>
  <c r="F18" i="3"/>
  <c r="B18" i="3"/>
  <c r="AA19" i="13" s="1"/>
  <c r="AB19" i="13" s="1"/>
  <c r="O19" i="13"/>
  <c r="N19" i="13"/>
  <c r="J19" i="13"/>
  <c r="I19" i="13"/>
  <c r="H19" i="13" a="1"/>
  <c r="H19" i="13" s="1"/>
  <c r="G19" i="13"/>
  <c r="D19" i="13" a="1"/>
  <c r="D19" i="13" s="1"/>
  <c r="C19" i="13"/>
  <c r="F17" i="3"/>
  <c r="B17" i="3" s="1"/>
  <c r="O18" i="13"/>
  <c r="N18" i="13"/>
  <c r="J18" i="13"/>
  <c r="I18" i="13"/>
  <c r="H18" i="13" a="1"/>
  <c r="H18" i="13" s="1"/>
  <c r="G18" i="13"/>
  <c r="D18" i="13" a="1"/>
  <c r="D18" i="13" s="1"/>
  <c r="C18" i="13"/>
  <c r="F16" i="3"/>
  <c r="B16" i="3"/>
  <c r="E17" i="8" s="1"/>
  <c r="G17" i="8" s="1"/>
  <c r="O17" i="13"/>
  <c r="N17" i="13"/>
  <c r="J17" i="13"/>
  <c r="I17" i="13"/>
  <c r="H17" i="13" a="1"/>
  <c r="H17" i="13" s="1"/>
  <c r="G17" i="13"/>
  <c r="D17" i="13" a="1"/>
  <c r="D17" i="13" s="1"/>
  <c r="C17" i="13"/>
  <c r="F15" i="3"/>
  <c r="B15" i="3"/>
  <c r="O16" i="13"/>
  <c r="N16" i="13"/>
  <c r="J16" i="13"/>
  <c r="I16" i="13"/>
  <c r="H16" i="13" a="1"/>
  <c r="H16" i="13" s="1"/>
  <c r="G16" i="13"/>
  <c r="D16" i="13" a="1"/>
  <c r="D16" i="13" s="1"/>
  <c r="C16" i="13"/>
  <c r="F14" i="3"/>
  <c r="B14" i="3"/>
  <c r="AA15" i="13" s="1"/>
  <c r="O15" i="13"/>
  <c r="N15" i="13"/>
  <c r="J15" i="13"/>
  <c r="I15" i="13"/>
  <c r="H15" i="13" a="1"/>
  <c r="H15" i="13" s="1"/>
  <c r="G15" i="13"/>
  <c r="D15" i="13" a="1"/>
  <c r="D15" i="13" s="1"/>
  <c r="C15" i="13"/>
  <c r="F13" i="3"/>
  <c r="B13" i="3"/>
  <c r="O14" i="13"/>
  <c r="N14" i="13"/>
  <c r="J14" i="13"/>
  <c r="I14" i="13"/>
  <c r="H14" i="13" a="1"/>
  <c r="H14" i="13" s="1"/>
  <c r="G14" i="13"/>
  <c r="D14" i="13" a="1"/>
  <c r="D14" i="13" s="1"/>
  <c r="C14" i="13"/>
  <c r="F12" i="3"/>
  <c r="B12" i="3" s="1"/>
  <c r="E13" i="9" s="1"/>
  <c r="O13" i="13"/>
  <c r="N13" i="13"/>
  <c r="J13" i="13"/>
  <c r="I13" i="13"/>
  <c r="H13" i="13" a="1"/>
  <c r="H13" i="13" s="1"/>
  <c r="G13" i="13"/>
  <c r="D13" i="13" a="1"/>
  <c r="D13" i="13" s="1"/>
  <c r="C13" i="13"/>
  <c r="F11" i="3"/>
  <c r="B11" i="3"/>
  <c r="AA12" i="10" s="1"/>
  <c r="O12" i="13"/>
  <c r="N12" i="13"/>
  <c r="J12" i="13"/>
  <c r="I12" i="13"/>
  <c r="H12" i="13" a="1"/>
  <c r="H12" i="13" s="1"/>
  <c r="G12" i="13"/>
  <c r="D12" i="13" a="1"/>
  <c r="D12" i="13" s="1"/>
  <c r="C12" i="13"/>
  <c r="O11" i="13"/>
  <c r="N11" i="13"/>
  <c r="J11" i="13"/>
  <c r="I11" i="13"/>
  <c r="H11" i="13" a="1"/>
  <c r="H11" i="13" s="1"/>
  <c r="G11" i="13"/>
  <c r="D11" i="13" a="1"/>
  <c r="D11" i="13" s="1"/>
  <c r="C11" i="13"/>
  <c r="F9" i="3"/>
  <c r="B9" i="3" s="1"/>
  <c r="E10" i="8" s="1"/>
  <c r="O10" i="13"/>
  <c r="N10" i="13"/>
  <c r="J10" i="13"/>
  <c r="I10" i="13"/>
  <c r="H10" i="13" a="1"/>
  <c r="H10" i="13" s="1"/>
  <c r="G10" i="13"/>
  <c r="D10" i="13" a="1"/>
  <c r="D10" i="13" s="1"/>
  <c r="C10" i="13"/>
  <c r="F8" i="3"/>
  <c r="B8" i="3" s="1"/>
  <c r="AA9" i="10" s="1"/>
  <c r="O9" i="13"/>
  <c r="N9" i="13"/>
  <c r="J9" i="13"/>
  <c r="I9" i="13"/>
  <c r="H9" i="13" a="1"/>
  <c r="H9" i="13" s="1"/>
  <c r="G9" i="13"/>
  <c r="D9" i="13" a="1"/>
  <c r="D9" i="13" s="1"/>
  <c r="C9" i="13"/>
  <c r="F7" i="3"/>
  <c r="B7" i="3" s="1"/>
  <c r="O8" i="13"/>
  <c r="N8" i="13"/>
  <c r="J8" i="13"/>
  <c r="I8" i="13"/>
  <c r="H8" i="13" a="1"/>
  <c r="H8" i="13" s="1"/>
  <c r="G8" i="13"/>
  <c r="D8" i="13" a="1"/>
  <c r="D8" i="13" s="1"/>
  <c r="C8" i="13"/>
  <c r="F6" i="3"/>
  <c r="B6" i="3"/>
  <c r="O7" i="13"/>
  <c r="N7" i="13"/>
  <c r="J7" i="13"/>
  <c r="I7" i="13"/>
  <c r="H7" i="13" a="1"/>
  <c r="H7" i="13" s="1"/>
  <c r="G7" i="13"/>
  <c r="D7" i="13" a="1"/>
  <c r="D7" i="13" s="1"/>
  <c r="C7" i="13"/>
  <c r="F5" i="3"/>
  <c r="B5" i="3" s="1"/>
  <c r="O6" i="13"/>
  <c r="N6" i="13"/>
  <c r="J6" i="13"/>
  <c r="I6" i="13"/>
  <c r="H6" i="13" a="1"/>
  <c r="H6" i="13" s="1"/>
  <c r="G6" i="13"/>
  <c r="D6" i="13" a="1"/>
  <c r="D6" i="13" s="1"/>
  <c r="C6" i="13"/>
  <c r="F4" i="3"/>
  <c r="B4" i="3" s="1"/>
  <c r="AA5" i="10" s="1"/>
  <c r="O5" i="13"/>
  <c r="N5" i="13"/>
  <c r="J5" i="13"/>
  <c r="I5" i="13"/>
  <c r="H5" i="13" a="1"/>
  <c r="H5" i="13" s="1"/>
  <c r="G5" i="13"/>
  <c r="D5" i="13" a="1"/>
  <c r="D5" i="13" s="1"/>
  <c r="C5" i="13"/>
  <c r="F3" i="3"/>
  <c r="B3" i="3" s="1"/>
  <c r="O4" i="13"/>
  <c r="N4" i="13"/>
  <c r="J4" i="13"/>
  <c r="I4" i="13"/>
  <c r="H4" i="13" a="1"/>
  <c r="H4" i="13" s="1"/>
  <c r="G4" i="13"/>
  <c r="D4" i="13" a="1"/>
  <c r="D4" i="13" s="1"/>
  <c r="C4" i="13"/>
  <c r="B7" i="7"/>
  <c r="D7" i="7" s="1"/>
  <c r="B15" i="7"/>
  <c r="E15" i="7" s="1"/>
  <c r="B19" i="7"/>
  <c r="F19" i="7" s="1"/>
  <c r="B31" i="7"/>
  <c r="G31" i="7" s="1"/>
  <c r="B35" i="7"/>
  <c r="B36" i="7"/>
  <c r="B37" i="7"/>
  <c r="B38" i="7"/>
  <c r="B39" i="7"/>
  <c r="B40" i="7"/>
  <c r="C20" i="7"/>
  <c r="AK20" i="7"/>
  <c r="AL20" i="7" s="1"/>
  <c r="C16" i="7"/>
  <c r="AK16" i="7"/>
  <c r="AL16" i="7" s="1"/>
  <c r="AX20" i="7"/>
  <c r="AY20" i="7" s="1"/>
  <c r="AX16" i="7"/>
  <c r="Y16" i="7"/>
  <c r="Z16" i="7" s="1"/>
  <c r="Y20" i="7"/>
  <c r="C22" i="7"/>
  <c r="AK22" i="7"/>
  <c r="AL22" i="7" s="1"/>
  <c r="C24" i="7"/>
  <c r="AK24" i="7"/>
  <c r="AL24" i="7" s="1"/>
  <c r="AX22" i="7"/>
  <c r="AX24" i="7"/>
  <c r="Y24" i="7"/>
  <c r="Y22" i="7"/>
  <c r="C6" i="7"/>
  <c r="AK6" i="7"/>
  <c r="AL6" i="7" s="1"/>
  <c r="C10" i="7"/>
  <c r="AK10" i="7"/>
  <c r="AL10" i="7" s="1"/>
  <c r="AX6" i="7"/>
  <c r="AX10" i="7"/>
  <c r="Y10" i="7"/>
  <c r="Y6" i="7"/>
  <c r="C12" i="7"/>
  <c r="AK12" i="7"/>
  <c r="AL12" i="7" s="1"/>
  <c r="C18" i="7"/>
  <c r="AK18" i="7"/>
  <c r="AL18" i="7" s="1"/>
  <c r="AX12" i="7"/>
  <c r="AX18" i="7"/>
  <c r="Y18" i="7"/>
  <c r="Y12" i="7"/>
  <c r="AF13" i="12"/>
  <c r="AK13" i="12"/>
  <c r="AF23" i="12"/>
  <c r="AK23" i="12"/>
  <c r="AF31" i="12"/>
  <c r="AK31" i="12"/>
  <c r="AF34" i="12"/>
  <c r="AK34" i="12"/>
  <c r="AF41" i="12"/>
  <c r="AK44" i="12"/>
  <c r="AF49" i="12"/>
  <c r="AK52" i="12"/>
  <c r="AF65" i="12"/>
  <c r="AK65" i="12"/>
  <c r="AK20" i="12"/>
  <c r="AF26" i="12"/>
  <c r="AK26" i="12"/>
  <c r="AF38" i="12"/>
  <c r="AK38" i="12"/>
  <c r="AF10" i="12"/>
  <c r="AK10" i="12"/>
  <c r="AK53" i="12"/>
  <c r="AF5" i="12"/>
  <c r="AF8" i="12"/>
  <c r="AK8" i="12"/>
  <c r="AF17" i="12"/>
  <c r="AK25" i="12"/>
  <c r="AF56" i="12"/>
  <c r="AF55" i="12"/>
  <c r="AK55" i="12"/>
  <c r="AF4" i="12"/>
  <c r="AF29" i="12"/>
  <c r="AF40" i="12"/>
  <c r="AF50" i="12"/>
  <c r="AF58" i="12"/>
  <c r="AF59" i="12"/>
  <c r="AF61" i="12"/>
  <c r="AF62" i="12"/>
  <c r="AF67" i="12"/>
  <c r="AF68" i="12"/>
  <c r="AF70" i="12"/>
  <c r="AF81" i="12"/>
  <c r="AK7" i="12"/>
  <c r="AK67" i="12"/>
  <c r="AK59" i="12"/>
  <c r="AK62" i="12"/>
  <c r="AK41" i="12"/>
  <c r="AK50" i="12"/>
  <c r="AK29" i="12"/>
  <c r="AK49" i="12"/>
  <c r="AK70" i="12"/>
  <c r="AK74" i="12"/>
  <c r="AK76" i="12"/>
  <c r="AK80" i="12"/>
  <c r="AX31" i="7"/>
  <c r="AY31" i="7" s="1"/>
  <c r="Y31" i="7"/>
  <c r="AX9" i="7"/>
  <c r="AK9" i="7"/>
  <c r="AL9" i="7" s="1"/>
  <c r="Y9" i="7"/>
  <c r="AK31" i="7"/>
  <c r="AX13" i="7"/>
  <c r="AK13" i="7"/>
  <c r="Y13" i="7"/>
  <c r="Z13" i="7" s="1"/>
  <c r="AX23" i="7"/>
  <c r="Y23" i="7"/>
  <c r="Z23" i="7" s="1"/>
  <c r="AA23" i="7" s="1"/>
  <c r="AX27" i="7"/>
  <c r="AK27" i="7"/>
  <c r="AL27" i="7" s="1"/>
  <c r="Y27" i="7"/>
  <c r="AK23" i="7"/>
  <c r="AX8" i="7"/>
  <c r="Y8" i="7"/>
  <c r="AX28" i="7"/>
  <c r="AY28" i="7" s="1"/>
  <c r="AK28" i="7"/>
  <c r="Y28" i="7"/>
  <c r="AK8" i="7"/>
  <c r="AX29" i="7"/>
  <c r="BG29" i="7" s="1"/>
  <c r="Y29" i="7"/>
  <c r="Z29" i="7" s="1"/>
  <c r="AK29" i="7"/>
  <c r="AX19" i="7"/>
  <c r="BG19" i="7" s="1"/>
  <c r="BH19" i="7" s="1"/>
  <c r="Y19" i="7"/>
  <c r="AX32" i="7"/>
  <c r="AK32" i="7"/>
  <c r="AL32" i="7" s="1"/>
  <c r="Y32" i="7"/>
  <c r="AK19" i="7"/>
  <c r="AX15" i="7"/>
  <c r="AK15" i="7"/>
  <c r="AL15" i="7" s="1"/>
  <c r="Y15" i="7"/>
  <c r="Z15" i="7" s="1"/>
  <c r="AX33" i="7"/>
  <c r="Y33" i="7"/>
  <c r="AX36" i="7"/>
  <c r="AY36" i="7" s="1"/>
  <c r="AK36" i="7"/>
  <c r="Y36" i="7"/>
  <c r="AK33" i="7"/>
  <c r="AX7" i="7"/>
  <c r="AY7" i="7" s="1"/>
  <c r="AZ7" i="7" s="1"/>
  <c r="Y7" i="7"/>
  <c r="AX5" i="7"/>
  <c r="AK5" i="7"/>
  <c r="Y5" i="7"/>
  <c r="AK7" i="7"/>
  <c r="AX26" i="7"/>
  <c r="Y26" i="7"/>
  <c r="AX17" i="7"/>
  <c r="AK17" i="7"/>
  <c r="Y17" i="7"/>
  <c r="Z17" i="7" s="1"/>
  <c r="AA17" i="7" s="1"/>
  <c r="AK26" i="7"/>
  <c r="AL26" i="7" s="1"/>
  <c r="AX35" i="7"/>
  <c r="AY35" i="7" s="1"/>
  <c r="AK35" i="7"/>
  <c r="Y35" i="7"/>
  <c r="Z35" i="7" s="1"/>
  <c r="AX34" i="7"/>
  <c r="AK34" i="7"/>
  <c r="AL34" i="7" s="1"/>
  <c r="Y34" i="7"/>
  <c r="Z34" i="7" s="1"/>
  <c r="AA34" i="7" s="1"/>
  <c r="AX30" i="7"/>
  <c r="Y30" i="7"/>
  <c r="Z30" i="7" s="1"/>
  <c r="AK30" i="7"/>
  <c r="AE63" i="11"/>
  <c r="O64" i="11"/>
  <c r="P64" i="11"/>
  <c r="V64" i="11"/>
  <c r="O65" i="11"/>
  <c r="P65" i="11"/>
  <c r="V65" i="11"/>
  <c r="AE66" i="11"/>
  <c r="O67" i="11"/>
  <c r="P67" i="11" s="1"/>
  <c r="V67" i="11"/>
  <c r="O68" i="11"/>
  <c r="P68" i="11"/>
  <c r="V68" i="11"/>
  <c r="AK4" i="7"/>
  <c r="AL4" i="7" s="1"/>
  <c r="AL31" i="7"/>
  <c r="AM31" i="7"/>
  <c r="C9" i="7"/>
  <c r="C31" i="7"/>
  <c r="C14" i="7"/>
  <c r="AK14" i="7"/>
  <c r="AL14" i="7" s="1"/>
  <c r="C4" i="7"/>
  <c r="AX14" i="7"/>
  <c r="BG14" i="7" s="1"/>
  <c r="AX4" i="7"/>
  <c r="Y4" i="7"/>
  <c r="Z4" i="7" s="1"/>
  <c r="Y14" i="7"/>
  <c r="C34" i="7"/>
  <c r="Z6" i="7"/>
  <c r="AK11" i="7"/>
  <c r="Z14" i="7"/>
  <c r="AL17" i="7"/>
  <c r="AM17" i="7" s="1"/>
  <c r="H17" i="9" s="1"/>
  <c r="AL19" i="7"/>
  <c r="Z19" i="7"/>
  <c r="AK21" i="7"/>
  <c r="Y21" i="7"/>
  <c r="Z21" i="7" s="1"/>
  <c r="AA21" i="7" s="1"/>
  <c r="Z24" i="7"/>
  <c r="AK25" i="7"/>
  <c r="AL25" i="7" s="1"/>
  <c r="Y25" i="7"/>
  <c r="Z25" i="7" s="1"/>
  <c r="Z26" i="7"/>
  <c r="AN26" i="7" s="1"/>
  <c r="AL29" i="7"/>
  <c r="BA29" i="7" s="1"/>
  <c r="AN29" i="7"/>
  <c r="Z31" i="7"/>
  <c r="AN31" i="7"/>
  <c r="AL35" i="7"/>
  <c r="AL36" i="7"/>
  <c r="Z36" i="7"/>
  <c r="AN36" i="7" s="1"/>
  <c r="AK37" i="7"/>
  <c r="AN37" i="7" s="1"/>
  <c r="AK38" i="7"/>
  <c r="AN38" i="7" s="1"/>
  <c r="AK39" i="7"/>
  <c r="AN39" i="7" s="1"/>
  <c r="AK40" i="7"/>
  <c r="AN40" i="7"/>
  <c r="C5" i="7"/>
  <c r="C7" i="7"/>
  <c r="C8" i="7"/>
  <c r="C11" i="7"/>
  <c r="C13" i="7"/>
  <c r="C15" i="7"/>
  <c r="C17" i="7"/>
  <c r="C19" i="7"/>
  <c r="C21" i="7"/>
  <c r="C23" i="7"/>
  <c r="C25" i="7"/>
  <c r="C26" i="7"/>
  <c r="C27" i="7"/>
  <c r="C28" i="7"/>
  <c r="C29" i="7"/>
  <c r="C30" i="7"/>
  <c r="C32" i="7"/>
  <c r="C33" i="7"/>
  <c r="C35" i="7"/>
  <c r="C36" i="7"/>
  <c r="C37" i="7"/>
  <c r="C38" i="7"/>
  <c r="C39" i="7"/>
  <c r="C40" i="7"/>
  <c r="M4" i="7"/>
  <c r="N4" i="7" s="1"/>
  <c r="M5" i="7"/>
  <c r="M6" i="7"/>
  <c r="M7" i="7"/>
  <c r="N8" i="7"/>
  <c r="M9" i="7"/>
  <c r="N9" i="7" s="1"/>
  <c r="P9" i="7" s="1"/>
  <c r="M10" i="7"/>
  <c r="Y11" i="7"/>
  <c r="M12" i="7"/>
  <c r="N12" i="7" s="1"/>
  <c r="M13" i="7"/>
  <c r="M14" i="7"/>
  <c r="M15" i="7"/>
  <c r="N15" i="7" s="1"/>
  <c r="AB15" i="7" s="1"/>
  <c r="M16" i="7"/>
  <c r="N16" i="7" s="1"/>
  <c r="M17" i="7"/>
  <c r="M18" i="7"/>
  <c r="M19" i="7"/>
  <c r="N19" i="7" s="1"/>
  <c r="AB19" i="7" s="1"/>
  <c r="M20" i="7"/>
  <c r="N20" i="7" s="1"/>
  <c r="P20" i="7" s="1"/>
  <c r="M21" i="7"/>
  <c r="M22" i="7"/>
  <c r="M23" i="7"/>
  <c r="M24" i="7"/>
  <c r="M25" i="7"/>
  <c r="M26" i="7"/>
  <c r="M27" i="7"/>
  <c r="N27" i="7" s="1"/>
  <c r="M28" i="7"/>
  <c r="M29" i="7"/>
  <c r="P29" i="7" s="1"/>
  <c r="M30" i="7"/>
  <c r="M31" i="7"/>
  <c r="N31" i="7" s="1"/>
  <c r="AB31" i="7" s="1"/>
  <c r="M32" i="7"/>
  <c r="N32" i="7" s="1"/>
  <c r="AB32" i="7"/>
  <c r="M33" i="7"/>
  <c r="M34" i="7"/>
  <c r="M35" i="7"/>
  <c r="N35" i="7" s="1"/>
  <c r="O35" i="7" s="1"/>
  <c r="M36" i="7"/>
  <c r="AB36" i="7"/>
  <c r="Y37" i="7"/>
  <c r="AB37" i="7" s="1"/>
  <c r="Y38" i="7"/>
  <c r="AB38" i="7" s="1"/>
  <c r="Y39" i="7"/>
  <c r="AB39" i="7"/>
  <c r="Y40" i="7"/>
  <c r="AB40" i="7" s="1"/>
  <c r="AK40" i="12"/>
  <c r="AK17" i="12"/>
  <c r="AK61" i="12"/>
  <c r="AK58" i="12"/>
  <c r="AK4" i="12"/>
  <c r="AK5" i="12"/>
  <c r="AK56" i="12"/>
  <c r="AK68" i="12"/>
  <c r="AK81" i="12"/>
  <c r="B7" i="4"/>
  <c r="B8" i="4" s="1"/>
  <c r="D7" i="4"/>
  <c r="M11" i="7"/>
  <c r="M37" i="7"/>
  <c r="M38" i="7"/>
  <c r="M39" i="7"/>
  <c r="M40" i="7"/>
  <c r="O40" i="7" s="1"/>
  <c r="E37" i="7"/>
  <c r="F37" i="7"/>
  <c r="G37" i="7"/>
  <c r="E38" i="7"/>
  <c r="H38" i="7" s="1"/>
  <c r="F38" i="7"/>
  <c r="G38" i="7"/>
  <c r="E39" i="7"/>
  <c r="F39" i="7"/>
  <c r="G39" i="7"/>
  <c r="H39" i="7"/>
  <c r="E40" i="7"/>
  <c r="F40" i="7"/>
  <c r="G40" i="7"/>
  <c r="H40" i="7"/>
  <c r="E37" i="8"/>
  <c r="J37" i="8"/>
  <c r="E38" i="8"/>
  <c r="J38" i="8"/>
  <c r="E39" i="8"/>
  <c r="J39" i="8"/>
  <c r="E40" i="8"/>
  <c r="J40" i="8"/>
  <c r="A37" i="8"/>
  <c r="A38" i="8"/>
  <c r="A39" i="8"/>
  <c r="A40" i="8"/>
  <c r="E37" i="9"/>
  <c r="B37" i="9"/>
  <c r="E38" i="9"/>
  <c r="B38" i="9"/>
  <c r="E39" i="9"/>
  <c r="B39" i="9"/>
  <c r="E40" i="9"/>
  <c r="B40" i="9"/>
  <c r="A37" i="9"/>
  <c r="A38" i="9"/>
  <c r="A39" i="9"/>
  <c r="A40" i="9"/>
  <c r="D37" i="9"/>
  <c r="D38" i="9"/>
  <c r="D39" i="9"/>
  <c r="D40" i="9"/>
  <c r="D37" i="8"/>
  <c r="D38" i="8"/>
  <c r="D39" i="8"/>
  <c r="D40" i="8"/>
  <c r="I37" i="8"/>
  <c r="I38" i="8"/>
  <c r="I39" i="8"/>
  <c r="I40" i="8"/>
  <c r="B4" i="14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3" i="14"/>
  <c r="T38" i="14" a="1"/>
  <c r="T38" i="14" s="1"/>
  <c r="F4" i="14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3" i="14"/>
  <c r="S38" i="14" a="1"/>
  <c r="S38" i="14" s="1"/>
  <c r="P38" i="14" a="1"/>
  <c r="P38" i="14"/>
  <c r="L38" i="14" a="1"/>
  <c r="L38" i="14" s="1"/>
  <c r="M38" i="14" a="1"/>
  <c r="M38" i="14" s="1"/>
  <c r="O38" i="14" a="1"/>
  <c r="O38" i="14"/>
  <c r="N38" i="14" a="1"/>
  <c r="N38" i="14"/>
  <c r="K38" i="14" a="1"/>
  <c r="K38" i="14"/>
  <c r="R39" i="14" a="1"/>
  <c r="R39" i="14" s="1"/>
  <c r="P39" i="14" a="1"/>
  <c r="P39" i="14"/>
  <c r="M39" i="14" a="1"/>
  <c r="M39" i="14" s="1"/>
  <c r="O39" i="14" a="1"/>
  <c r="O39" i="14" s="1"/>
  <c r="L39" i="14" a="1"/>
  <c r="L39" i="14" s="1"/>
  <c r="K39" i="14" a="1"/>
  <c r="K39" i="14"/>
  <c r="N39" i="14" a="1"/>
  <c r="N39" i="14"/>
  <c r="L37" i="14" a="1"/>
  <c r="L37" i="14" s="1"/>
  <c r="P37" i="14" a="1"/>
  <c r="P37" i="14"/>
  <c r="M37" i="14" a="1"/>
  <c r="M37" i="14" s="1"/>
  <c r="O37" i="14" a="1"/>
  <c r="O37" i="14"/>
  <c r="K37" i="14" a="1"/>
  <c r="K37" i="14"/>
  <c r="N37" i="14" a="1"/>
  <c r="N37" i="14"/>
  <c r="T39" i="14" a="1"/>
  <c r="T39" i="14" s="1"/>
  <c r="S39" i="14" a="1"/>
  <c r="S39" i="14" s="1"/>
  <c r="R38" i="14" a="1"/>
  <c r="R38" i="14" s="1"/>
  <c r="Q38" i="14" a="1"/>
  <c r="Q38" i="14" s="1"/>
  <c r="Q39" i="14" a="1"/>
  <c r="Q39" i="14" s="1"/>
  <c r="G39" i="9"/>
  <c r="F39" i="9"/>
  <c r="H39" i="9"/>
  <c r="I39" i="9"/>
  <c r="J39" i="9"/>
  <c r="G40" i="9"/>
  <c r="F40" i="9"/>
  <c r="H40" i="9"/>
  <c r="I40" i="9"/>
  <c r="J40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H37" i="9"/>
  <c r="J37" i="9" s="1"/>
  <c r="F38" i="9"/>
  <c r="H38" i="9"/>
  <c r="J38" i="9" s="1"/>
  <c r="F4" i="9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C39" i="8"/>
  <c r="C40" i="8"/>
  <c r="B39" i="8"/>
  <c r="B40" i="8"/>
  <c r="H40" i="8"/>
  <c r="G40" i="8"/>
  <c r="H39" i="8"/>
  <c r="G39" i="8"/>
  <c r="AX37" i="7"/>
  <c r="BJ37" i="7" s="1"/>
  <c r="V62" i="11"/>
  <c r="O62" i="11"/>
  <c r="P62" i="11" s="1"/>
  <c r="V61" i="11"/>
  <c r="O61" i="11"/>
  <c r="P61" i="11" s="1"/>
  <c r="AE60" i="11"/>
  <c r="V59" i="11"/>
  <c r="O59" i="11"/>
  <c r="P59" i="11" s="1"/>
  <c r="V58" i="11"/>
  <c r="O58" i="11"/>
  <c r="AE57" i="11"/>
  <c r="V56" i="11"/>
  <c r="O56" i="11"/>
  <c r="P56" i="11"/>
  <c r="V55" i="11"/>
  <c r="O55" i="11"/>
  <c r="P55" i="11" s="1"/>
  <c r="AE54" i="11"/>
  <c r="V53" i="11"/>
  <c r="O53" i="11"/>
  <c r="P53" i="11" s="1"/>
  <c r="V52" i="11"/>
  <c r="O52" i="11"/>
  <c r="P52" i="11" s="1"/>
  <c r="AE51" i="11"/>
  <c r="V50" i="11"/>
  <c r="O50" i="11"/>
  <c r="P50" i="11"/>
  <c r="V49" i="11"/>
  <c r="O49" i="11"/>
  <c r="P49" i="11"/>
  <c r="AE48" i="11"/>
  <c r="V47" i="11"/>
  <c r="O47" i="11"/>
  <c r="P47" i="11" s="1"/>
  <c r="V46" i="11"/>
  <c r="O46" i="11"/>
  <c r="P46" i="11" s="1"/>
  <c r="AE45" i="11"/>
  <c r="V44" i="11"/>
  <c r="O44" i="11"/>
  <c r="P44" i="11" s="1"/>
  <c r="V43" i="11"/>
  <c r="O43" i="11"/>
  <c r="P43" i="11" s="1"/>
  <c r="AE42" i="11"/>
  <c r="V41" i="11"/>
  <c r="O41" i="11"/>
  <c r="P41" i="11" s="1"/>
  <c r="V40" i="11"/>
  <c r="O40" i="11"/>
  <c r="P40" i="11"/>
  <c r="AE39" i="11"/>
  <c r="V38" i="11"/>
  <c r="O38" i="11"/>
  <c r="P38" i="11" s="1"/>
  <c r="V37" i="11"/>
  <c r="O37" i="11"/>
  <c r="P37" i="11" s="1"/>
  <c r="AE36" i="11"/>
  <c r="V35" i="11"/>
  <c r="O35" i="11"/>
  <c r="P35" i="11" s="1"/>
  <c r="V34" i="11"/>
  <c r="O34" i="11"/>
  <c r="P34" i="11" s="1"/>
  <c r="AE33" i="11"/>
  <c r="V32" i="11"/>
  <c r="O32" i="11"/>
  <c r="P32" i="11" s="1"/>
  <c r="V31" i="11"/>
  <c r="O31" i="11"/>
  <c r="P31" i="11" s="1"/>
  <c r="AE30" i="11"/>
  <c r="V29" i="11"/>
  <c r="O29" i="11"/>
  <c r="P29" i="11" s="1"/>
  <c r="V28" i="11"/>
  <c r="O28" i="11"/>
  <c r="P28" i="11" s="1"/>
  <c r="AE27" i="11"/>
  <c r="V26" i="11"/>
  <c r="O26" i="11"/>
  <c r="P26" i="11" s="1"/>
  <c r="V25" i="11"/>
  <c r="O25" i="11"/>
  <c r="P25" i="11" s="1"/>
  <c r="AE24" i="11"/>
  <c r="V23" i="11"/>
  <c r="O23" i="11"/>
  <c r="P23" i="11" s="1"/>
  <c r="V22" i="11"/>
  <c r="O22" i="11"/>
  <c r="P22" i="11" s="1"/>
  <c r="AE21" i="11"/>
  <c r="V20" i="11"/>
  <c r="O20" i="11"/>
  <c r="P20" i="11"/>
  <c r="V19" i="11"/>
  <c r="O19" i="11"/>
  <c r="P19" i="11" s="1"/>
  <c r="AE18" i="11"/>
  <c r="V17" i="11"/>
  <c r="O17" i="11"/>
  <c r="P17" i="11" s="1"/>
  <c r="V16" i="11"/>
  <c r="O16" i="11"/>
  <c r="P16" i="11"/>
  <c r="AE15" i="11"/>
  <c r="V14" i="11"/>
  <c r="O14" i="11"/>
  <c r="P14" i="11" s="1"/>
  <c r="V13" i="11"/>
  <c r="O13" i="11"/>
  <c r="P13" i="11" s="1"/>
  <c r="AE12" i="11"/>
  <c r="V11" i="11"/>
  <c r="O11" i="11"/>
  <c r="P11" i="11" s="1"/>
  <c r="V10" i="11"/>
  <c r="O10" i="11"/>
  <c r="P10" i="11" s="1"/>
  <c r="AE9" i="11"/>
  <c r="V8" i="11"/>
  <c r="O8" i="11"/>
  <c r="P8" i="11" s="1"/>
  <c r="V7" i="11"/>
  <c r="O7" i="11"/>
  <c r="P7" i="11" s="1"/>
  <c r="V5" i="11"/>
  <c r="O5" i="11"/>
  <c r="P5" i="11" s="1"/>
  <c r="V4" i="11"/>
  <c r="O4" i="11"/>
  <c r="P4" i="11" s="1"/>
  <c r="AA41" i="10"/>
  <c r="AB41" i="10"/>
  <c r="AA40" i="10"/>
  <c r="AA39" i="10"/>
  <c r="AM15" i="7"/>
  <c r="AM36" i="7"/>
  <c r="AM29" i="7"/>
  <c r="AM32" i="7"/>
  <c r="AB40" i="10"/>
  <c r="AB39" i="10"/>
  <c r="P58" i="11"/>
  <c r="AB6" i="4"/>
  <c r="AB7" i="4" s="1"/>
  <c r="Z6" i="4"/>
  <c r="Z7" i="4"/>
  <c r="Z8" i="4"/>
  <c r="Z9" i="4"/>
  <c r="Z10" i="4"/>
  <c r="Z11" i="4"/>
  <c r="Z12" i="4"/>
  <c r="Z13" i="4"/>
  <c r="Z14" i="4"/>
  <c r="Z15" i="4"/>
  <c r="Z16" i="4"/>
  <c r="Z17" i="4"/>
  <c r="Z18" i="4"/>
  <c r="Z19" i="4"/>
  <c r="AD5" i="4"/>
  <c r="AE5" i="4" s="1"/>
  <c r="Z20" i="4"/>
  <c r="Z21" i="4"/>
  <c r="Z22" i="4"/>
  <c r="Z23" i="4"/>
  <c r="Z24" i="4"/>
  <c r="Z25" i="4"/>
  <c r="Z26" i="4"/>
  <c r="Z27" i="4"/>
  <c r="AD28" i="4"/>
  <c r="C40" i="9"/>
  <c r="C39" i="9"/>
  <c r="L26" i="8" a="1"/>
  <c r="L26" i="8" s="1"/>
  <c r="AX40" i="7"/>
  <c r="P40" i="7"/>
  <c r="D40" i="7"/>
  <c r="AX39" i="7"/>
  <c r="BA39" i="7" s="1"/>
  <c r="T39" i="7"/>
  <c r="O39" i="7"/>
  <c r="Q39" i="7"/>
  <c r="AX38" i="7"/>
  <c r="BJ38" i="7" s="1"/>
  <c r="AP38" i="7"/>
  <c r="Q38" i="7"/>
  <c r="N38" i="7"/>
  <c r="AP37" i="7"/>
  <c r="E31" i="8"/>
  <c r="G31" i="8" s="1"/>
  <c r="E13" i="8"/>
  <c r="I13" i="8" s="1"/>
  <c r="AX11" i="7"/>
  <c r="AY11" i="7" s="1"/>
  <c r="AL11" i="7"/>
  <c r="AE28" i="4"/>
  <c r="AC28" i="4"/>
  <c r="AA28" i="4"/>
  <c r="W24" i="4"/>
  <c r="U24" i="4"/>
  <c r="Q24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O8" i="4"/>
  <c r="O7" i="4"/>
  <c r="C7" i="4"/>
  <c r="AA7" i="4"/>
  <c r="W6" i="4"/>
  <c r="U7" i="4"/>
  <c r="Q6" i="4"/>
  <c r="O6" i="4"/>
  <c r="I6" i="4"/>
  <c r="E6" i="4"/>
  <c r="C6" i="4"/>
  <c r="AC5" i="4"/>
  <c r="AA5" i="4"/>
  <c r="W5" i="4"/>
  <c r="U5" i="4"/>
  <c r="Q5" i="4"/>
  <c r="O5" i="4"/>
  <c r="K5" i="4"/>
  <c r="I5" i="4"/>
  <c r="E5" i="4"/>
  <c r="C5" i="4"/>
  <c r="C42" i="3"/>
  <c r="C41" i="3"/>
  <c r="F39" i="3"/>
  <c r="F38" i="3"/>
  <c r="F37" i="3"/>
  <c r="F36" i="3"/>
  <c r="A30" i="14"/>
  <c r="G30" i="14" s="1"/>
  <c r="A24" i="14"/>
  <c r="A14" i="14"/>
  <c r="G14" i="14" s="1"/>
  <c r="A12" i="14"/>
  <c r="A8" i="14"/>
  <c r="E36" i="8"/>
  <c r="I36" i="8"/>
  <c r="E34" i="8"/>
  <c r="I34" i="8" s="1"/>
  <c r="E29" i="8"/>
  <c r="I29" i="8" s="1"/>
  <c r="E28" i="8"/>
  <c r="I28" i="8" s="1"/>
  <c r="E21" i="8"/>
  <c r="I21" i="8" s="1"/>
  <c r="E19" i="8"/>
  <c r="I19" i="8" s="1"/>
  <c r="E15" i="8"/>
  <c r="AX25" i="7"/>
  <c r="AX21" i="7"/>
  <c r="AY21" i="7" s="1"/>
  <c r="AZ21" i="7" s="1"/>
  <c r="Z11" i="7"/>
  <c r="E25" i="8"/>
  <c r="E35" i="8"/>
  <c r="G35" i="8" s="1"/>
  <c r="AF37" i="7"/>
  <c r="AA38" i="7"/>
  <c r="AC39" i="7"/>
  <c r="AF39" i="7"/>
  <c r="AA39" i="7"/>
  <c r="Z39" i="7"/>
  <c r="AS39" i="7"/>
  <c r="AP39" i="7"/>
  <c r="AM39" i="7"/>
  <c r="AL39" i="7"/>
  <c r="BG39" i="7"/>
  <c r="BI39" i="7" s="1"/>
  <c r="AS40" i="7"/>
  <c r="AM40" i="7"/>
  <c r="BG40" i="7"/>
  <c r="BI40" i="7" s="1"/>
  <c r="BC40" i="7"/>
  <c r="BA40" i="7"/>
  <c r="AZ40" i="7"/>
  <c r="BB40" i="7" s="1"/>
  <c r="AY40" i="7"/>
  <c r="AY30" i="7"/>
  <c r="AA30" i="7"/>
  <c r="AY29" i="7"/>
  <c r="AY26" i="7"/>
  <c r="AY24" i="7"/>
  <c r="AZ24" i="7" s="1"/>
  <c r="AA24" i="7"/>
  <c r="AY16" i="7"/>
  <c r="AZ16" i="7" s="1"/>
  <c r="F35" i="7"/>
  <c r="A34" i="14"/>
  <c r="A35" i="14"/>
  <c r="A20" i="14"/>
  <c r="A28" i="14"/>
  <c r="G28" i="14" s="1"/>
  <c r="A18" i="14"/>
  <c r="G18" i="14" s="1"/>
  <c r="A25" i="14"/>
  <c r="E36" i="7"/>
  <c r="G36" i="7"/>
  <c r="E25" i="9"/>
  <c r="AA25" i="10"/>
  <c r="E33" i="9"/>
  <c r="E15" i="9"/>
  <c r="G15" i="9" s="1"/>
  <c r="AA15" i="10"/>
  <c r="E36" i="9"/>
  <c r="AA36" i="10"/>
  <c r="AB36" i="10" s="1"/>
  <c r="E7" i="9"/>
  <c r="E18" i="9"/>
  <c r="AA26" i="10"/>
  <c r="E31" i="9"/>
  <c r="AA31" i="10"/>
  <c r="D37" i="7"/>
  <c r="AA13" i="10"/>
  <c r="AA16" i="10"/>
  <c r="E21" i="9"/>
  <c r="AA21" i="10"/>
  <c r="AA29" i="10"/>
  <c r="AA37" i="10"/>
  <c r="E19" i="9"/>
  <c r="AA19" i="10"/>
  <c r="E22" i="8"/>
  <c r="AA30" i="10"/>
  <c r="AB30" i="10" s="1"/>
  <c r="E35" i="9"/>
  <c r="AA35" i="10"/>
  <c r="AA38" i="10"/>
  <c r="AA9" i="4"/>
  <c r="AA6" i="4"/>
  <c r="E35" i="7"/>
  <c r="D35" i="7"/>
  <c r="D39" i="7"/>
  <c r="AA11" i="7"/>
  <c r="AY12" i="7"/>
  <c r="AZ12" i="7"/>
  <c r="AY10" i="7"/>
  <c r="AY15" i="7"/>
  <c r="BA15" i="7"/>
  <c r="AY22" i="7"/>
  <c r="AZ22" i="7"/>
  <c r="AY13" i="7"/>
  <c r="AZ13" i="7" s="1"/>
  <c r="AZ15" i="7"/>
  <c r="AY17" i="7"/>
  <c r="AZ17" i="7" s="1"/>
  <c r="AA26" i="7"/>
  <c r="AY19" i="7"/>
  <c r="AY27" i="7"/>
  <c r="AM26" i="7"/>
  <c r="H26" i="9" s="1"/>
  <c r="AZ29" i="7"/>
  <c r="BB29" i="7" s="1"/>
  <c r="P36" i="7"/>
  <c r="H36" i="9"/>
  <c r="J36" i="9" s="1"/>
  <c r="BC37" i="7"/>
  <c r="BF37" i="7"/>
  <c r="O37" i="7"/>
  <c r="P37" i="7"/>
  <c r="T37" i="7"/>
  <c r="N37" i="7"/>
  <c r="AM37" i="7"/>
  <c r="AS37" i="7"/>
  <c r="AL37" i="7"/>
  <c r="AY32" i="7"/>
  <c r="BA32" i="7"/>
  <c r="Q37" i="7"/>
  <c r="AS38" i="7"/>
  <c r="AM38" i="7"/>
  <c r="AL38" i="7"/>
  <c r="Z40" i="7"/>
  <c r="AF40" i="7"/>
  <c r="AA40" i="7"/>
  <c r="AO40" i="7" s="1"/>
  <c r="G35" i="7"/>
  <c r="AA36" i="7"/>
  <c r="AO36" i="7" s="1"/>
  <c r="J36" i="8"/>
  <c r="D38" i="7"/>
  <c r="T38" i="7"/>
  <c r="P38" i="7"/>
  <c r="O38" i="7"/>
  <c r="AO39" i="7"/>
  <c r="BJ39" i="7"/>
  <c r="BK39" i="7" s="1"/>
  <c r="AC40" i="7"/>
  <c r="AF38" i="7"/>
  <c r="BJ40" i="7"/>
  <c r="AP40" i="7"/>
  <c r="AL40" i="7"/>
  <c r="BF40" i="7"/>
  <c r="U6" i="4"/>
  <c r="W7" i="4"/>
  <c r="AA8" i="4"/>
  <c r="O36" i="14" a="1"/>
  <c r="O36" i="14" s="1"/>
  <c r="L36" i="14" a="1"/>
  <c r="L36" i="14" s="1"/>
  <c r="M36" i="14" a="1"/>
  <c r="M36" i="14" s="1"/>
  <c r="N36" i="14" a="1"/>
  <c r="N36" i="14" s="1"/>
  <c r="K36" i="14" a="1"/>
  <c r="K36" i="14" s="1"/>
  <c r="P36" i="14" a="1"/>
  <c r="P36" i="14" s="1"/>
  <c r="Q7" i="4"/>
  <c r="O36" i="7"/>
  <c r="AM25" i="7"/>
  <c r="AZ32" i="7"/>
  <c r="BB32" i="7" s="1"/>
  <c r="AZ36" i="7"/>
  <c r="BB36" i="7" s="1"/>
  <c r="H32" i="9"/>
  <c r="AA31" i="7"/>
  <c r="P31" i="7"/>
  <c r="O31" i="7"/>
  <c r="H31" i="8" s="1"/>
  <c r="AZ30" i="7"/>
  <c r="AA29" i="7"/>
  <c r="AO29" i="7" s="1"/>
  <c r="AA22" i="7"/>
  <c r="O22" i="7"/>
  <c r="H22" i="8" s="1"/>
  <c r="AZ19" i="7"/>
  <c r="AA19" i="7"/>
  <c r="P19" i="7"/>
  <c r="O19" i="7"/>
  <c r="AA15" i="7"/>
  <c r="P15" i="7"/>
  <c r="AA14" i="7"/>
  <c r="AA4" i="7"/>
  <c r="D31" i="7"/>
  <c r="G38" i="8"/>
  <c r="H38" i="8"/>
  <c r="G37" i="9"/>
  <c r="I37" i="9"/>
  <c r="G29" i="9"/>
  <c r="I29" i="9"/>
  <c r="I21" i="9"/>
  <c r="G36" i="9"/>
  <c r="I36" i="9"/>
  <c r="G33" i="9"/>
  <c r="F15" i="7"/>
  <c r="G38" i="9"/>
  <c r="I38" i="9"/>
  <c r="G37" i="8"/>
  <c r="H37" i="8"/>
  <c r="G29" i="8"/>
  <c r="G36" i="8"/>
  <c r="H36" i="8"/>
  <c r="BL40" i="7"/>
  <c r="BK40" i="7"/>
  <c r="O4" i="7"/>
  <c r="P4" i="7"/>
  <c r="AY8" i="7"/>
  <c r="AZ8" i="7" s="1"/>
  <c r="AY5" i="7"/>
  <c r="AZ5" i="7" s="1"/>
  <c r="AY9" i="7"/>
  <c r="AZ9" i="7" s="1"/>
  <c r="U8" i="4"/>
  <c r="AA10" i="4"/>
  <c r="H31" i="9"/>
  <c r="C38" i="9"/>
  <c r="AB35" i="10"/>
  <c r="AB37" i="10"/>
  <c r="C37" i="9"/>
  <c r="AB38" i="10"/>
  <c r="B37" i="8"/>
  <c r="C37" i="8"/>
  <c r="AB31" i="10"/>
  <c r="B38" i="8"/>
  <c r="C38" i="8"/>
  <c r="AA11" i="4"/>
  <c r="U9" i="4"/>
  <c r="AA80" i="13" a="1"/>
  <c r="AA80" i="13" s="1"/>
  <c r="AA81" i="13" a="1"/>
  <c r="AA81" i="13" s="1"/>
  <c r="AA78" i="13" a="1"/>
  <c r="AA78" i="13" s="1"/>
  <c r="AA83" i="13" a="1"/>
  <c r="AA83" i="13" s="1"/>
  <c r="AA79" i="13" a="1"/>
  <c r="AA79" i="13" s="1"/>
  <c r="AA82" i="13" a="1"/>
  <c r="AA82" i="13" s="1"/>
  <c r="AA74" i="13" a="1"/>
  <c r="AA74" i="13" s="1"/>
  <c r="R36" i="14" a="1"/>
  <c r="R36" i="14" s="1"/>
  <c r="R37" i="14" a="1"/>
  <c r="R37" i="14" s="1"/>
  <c r="U10" i="4"/>
  <c r="AA12" i="4"/>
  <c r="Q37" i="14" a="1"/>
  <c r="Q37" i="14" s="1"/>
  <c r="Q36" i="14" a="1"/>
  <c r="Q36" i="14" s="1"/>
  <c r="AA13" i="4"/>
  <c r="U11" i="4"/>
  <c r="U12" i="4"/>
  <c r="AA14" i="4"/>
  <c r="U13" i="4"/>
  <c r="AA15" i="4"/>
  <c r="U14" i="4"/>
  <c r="AA16" i="4"/>
  <c r="AA17" i="4"/>
  <c r="U15" i="4"/>
  <c r="AA18" i="4"/>
  <c r="U16" i="4"/>
  <c r="U17" i="4"/>
  <c r="AA19" i="4"/>
  <c r="J39" i="14"/>
  <c r="J38" i="14"/>
  <c r="J37" i="14"/>
  <c r="J36" i="14"/>
  <c r="AA20" i="4"/>
  <c r="U18" i="4"/>
  <c r="U19" i="4"/>
  <c r="AA21" i="4"/>
  <c r="AA22" i="4"/>
  <c r="U20" i="4"/>
  <c r="U21" i="4"/>
  <c r="AA23" i="4"/>
  <c r="AA24" i="4"/>
  <c r="U22" i="4"/>
  <c r="T37" i="14" a="1"/>
  <c r="T37" i="14" s="1"/>
  <c r="T36" i="14" a="1"/>
  <c r="T36" i="14" s="1"/>
  <c r="S37" i="14" a="1"/>
  <c r="S37" i="14" s="1"/>
  <c r="S36" i="14" a="1"/>
  <c r="S36" i="14" s="1"/>
  <c r="U23" i="4"/>
  <c r="AA25" i="4"/>
  <c r="AA27" i="4"/>
  <c r="AA26" i="4"/>
  <c r="AC32" i="7"/>
  <c r="Q29" i="7"/>
  <c r="Q22" i="7"/>
  <c r="AC29" i="7"/>
  <c r="Q4" i="7"/>
  <c r="Q19" i="7"/>
  <c r="AC36" i="7"/>
  <c r="AP36" i="7"/>
  <c r="BC36" i="7"/>
  <c r="AC31" i="7"/>
  <c r="AC22" i="7"/>
  <c r="Q36" i="7"/>
  <c r="BC30" i="7"/>
  <c r="AP4" i="7"/>
  <c r="AC19" i="7"/>
  <c r="BC32" i="7"/>
  <c r="Q15" i="7"/>
  <c r="AC26" i="7"/>
  <c r="Q12" i="7"/>
  <c r="BC31" i="7"/>
  <c r="Q31" i="7"/>
  <c r="BC29" i="7"/>
  <c r="BC26" i="7"/>
  <c r="Q32" i="7"/>
  <c r="AC15" i="7"/>
  <c r="BC22" i="7"/>
  <c r="AP15" i="7"/>
  <c r="BC4" i="7"/>
  <c r="Q30" i="7"/>
  <c r="BC19" i="7"/>
  <c r="Q26" i="7"/>
  <c r="AC12" i="7"/>
  <c r="AP29" i="7"/>
  <c r="BC15" i="7"/>
  <c r="AP31" i="7"/>
  <c r="AC4" i="7"/>
  <c r="AC30" i="7"/>
  <c r="AP22" i="7"/>
  <c r="AP32" i="7"/>
  <c r="BC12" i="7"/>
  <c r="AP30" i="7"/>
  <c r="AP26" i="7"/>
  <c r="AP19" i="7"/>
  <c r="AP12" i="7"/>
  <c r="R36" i="7"/>
  <c r="R19" i="7"/>
  <c r="R22" i="7"/>
  <c r="V28" i="10" a="1"/>
  <c r="V18" i="13" a="1"/>
  <c r="AQ36" i="7"/>
  <c r="V27" i="10" a="1"/>
  <c r="V11" i="13" a="1"/>
  <c r="BD18" i="7"/>
  <c r="R15" i="7"/>
  <c r="BD40" i="7"/>
  <c r="AP18" i="7"/>
  <c r="R40" i="7"/>
  <c r="BD11" i="7"/>
  <c r="R12" i="7"/>
  <c r="R29" i="7"/>
  <c r="V18" i="10" a="1"/>
  <c r="BD21" i="7"/>
  <c r="R24" i="7"/>
  <c r="V14" i="10" a="1"/>
  <c r="V11" i="10" a="1"/>
  <c r="Q27" i="7"/>
  <c r="BD9" i="7"/>
  <c r="V25" i="13" a="1"/>
  <c r="R37" i="7"/>
  <c r="AQ22" i="7"/>
  <c r="AQ35" i="7"/>
  <c r="R7" i="7"/>
  <c r="AQ23" i="7"/>
  <c r="BD23" i="7"/>
  <c r="Q20" i="7"/>
  <c r="V9" i="13" a="1"/>
  <c r="Q14" i="7"/>
  <c r="AD7" i="7"/>
  <c r="BC21" i="7"/>
  <c r="AQ40" i="7"/>
  <c r="V15" i="13" a="1"/>
  <c r="V19" i="13" a="1"/>
  <c r="AC27" i="7"/>
  <c r="BD37" i="7"/>
  <c r="R26" i="7"/>
  <c r="V22" i="10" a="1"/>
  <c r="BD32" i="7"/>
  <c r="AC18" i="7"/>
  <c r="V7" i="13" a="1"/>
  <c r="AQ25" i="7"/>
  <c r="AC7" i="7"/>
  <c r="V22" i="13" a="1"/>
  <c r="BD20" i="7"/>
  <c r="AP9" i="7"/>
  <c r="V5" i="10" a="1"/>
  <c r="BC35" i="7"/>
  <c r="Q18" i="7"/>
  <c r="AQ26" i="7"/>
  <c r="V4" i="10" a="1"/>
  <c r="AC16" i="7"/>
  <c r="R35" i="7"/>
  <c r="V5" i="13" a="1"/>
  <c r="V16" i="10" a="1"/>
  <c r="Q33" i="7"/>
  <c r="BC11" i="7"/>
  <c r="V14" i="13" a="1"/>
  <c r="V21" i="13" a="1"/>
  <c r="BC34" i="7"/>
  <c r="BC25" i="7"/>
  <c r="AQ4" i="7"/>
  <c r="AD6" i="7"/>
  <c r="AC24" i="7"/>
  <c r="V6" i="10" a="1"/>
  <c r="V10" i="10" a="1"/>
  <c r="AP34" i="7"/>
  <c r="V4" i="13" a="1"/>
  <c r="V17" i="10" a="1"/>
  <c r="BD22" i="7"/>
  <c r="R31" i="7"/>
  <c r="BC9" i="7"/>
  <c r="R23" i="7"/>
  <c r="Q21" i="7"/>
  <c r="R38" i="7"/>
  <c r="AP16" i="7"/>
  <c r="R11" i="7"/>
  <c r="AP33" i="7"/>
  <c r="V12" i="10" a="1"/>
  <c r="AP27" i="7"/>
  <c r="V6" i="13" a="1"/>
  <c r="R10" i="7"/>
  <c r="BD34" i="7"/>
  <c r="R20" i="7"/>
  <c r="BD29" i="7"/>
  <c r="Q16" i="7"/>
  <c r="AC21" i="7"/>
  <c r="AQ11" i="7"/>
  <c r="R16" i="7"/>
  <c r="Q7" i="7"/>
  <c r="AP10" i="7"/>
  <c r="R18" i="7"/>
  <c r="BD24" i="7"/>
  <c r="BD38" i="7"/>
  <c r="BC24" i="7"/>
  <c r="V26" i="13" a="1"/>
  <c r="BD35" i="7"/>
  <c r="R39" i="7"/>
  <c r="V27" i="13" a="1"/>
  <c r="R28" i="7"/>
  <c r="V9" i="10" a="1"/>
  <c r="AQ9" i="7"/>
  <c r="R4" i="7"/>
  <c r="AQ38" i="7"/>
  <c r="V7" i="10" a="1"/>
  <c r="R21" i="7"/>
  <c r="AC6" i="7"/>
  <c r="V8" i="10" a="1"/>
  <c r="V13" i="10" a="1"/>
  <c r="V21" i="10" a="1"/>
  <c r="V13" i="13" a="1"/>
  <c r="AD38" i="7"/>
  <c r="BC13" i="7"/>
  <c r="AC25" i="7"/>
  <c r="V23" i="13" a="1"/>
  <c r="AQ18" i="7"/>
  <c r="BD39" i="7"/>
  <c r="V26" i="10" a="1"/>
  <c r="AP35" i="7"/>
  <c r="AC10" i="7"/>
  <c r="Q34" i="7"/>
  <c r="AQ37" i="7"/>
  <c r="BD26" i="7"/>
  <c r="R8" i="7"/>
  <c r="V8" i="13" a="1"/>
  <c r="AC28" i="7"/>
  <c r="BC17" i="7"/>
  <c r="AC14" i="7"/>
  <c r="AD36" i="7"/>
  <c r="AD39" i="7"/>
  <c r="R30" i="7"/>
  <c r="AQ24" i="7"/>
  <c r="BD30" i="7"/>
  <c r="AP17" i="7"/>
  <c r="V15" i="10" a="1"/>
  <c r="V19" i="10" a="1"/>
  <c r="R9" i="7"/>
  <c r="V28" i="13" a="1"/>
  <c r="V24" i="10" a="1"/>
  <c r="AP28" i="7"/>
  <c r="V24" i="13" a="1"/>
  <c r="AQ39" i="7"/>
  <c r="AQ30" i="7"/>
  <c r="AQ21" i="7"/>
  <c r="BD4" i="7"/>
  <c r="R33" i="7"/>
  <c r="AC20" i="7"/>
  <c r="Q13" i="7"/>
  <c r="BD16" i="7"/>
  <c r="V10" i="13" a="1"/>
  <c r="R14" i="7"/>
  <c r="BC20" i="7"/>
  <c r="Q23" i="7"/>
  <c r="AC9" i="7"/>
  <c r="AQ20" i="7"/>
  <c r="V16" i="13" a="1"/>
  <c r="BD25" i="7"/>
  <c r="R32" i="7"/>
  <c r="V12" i="13" a="1"/>
  <c r="AD40" i="7"/>
  <c r="R5" i="7"/>
  <c r="AC11" i="7"/>
  <c r="Q28" i="7"/>
  <c r="BD28" i="7"/>
  <c r="AP14" i="7"/>
  <c r="AQ32" i="7"/>
  <c r="V23" i="10" a="1"/>
  <c r="AC23" i="7"/>
  <c r="R13" i="7"/>
  <c r="AP23" i="7"/>
  <c r="BC16" i="7"/>
  <c r="AC13" i="7"/>
  <c r="AP21" i="7"/>
  <c r="R6" i="7"/>
  <c r="AC33" i="7"/>
  <c r="R25" i="7"/>
  <c r="Q25" i="7"/>
  <c r="V20" i="10" a="1"/>
  <c r="AQ29" i="7"/>
  <c r="BD36" i="7"/>
  <c r="BC27" i="7"/>
  <c r="R17" i="7"/>
  <c r="Q35" i="7"/>
  <c r="AQ34" i="7"/>
  <c r="V25" i="10" a="1"/>
  <c r="V20" i="13" a="1"/>
  <c r="V29" i="10" a="1"/>
  <c r="AC34" i="7"/>
  <c r="R34" i="7"/>
  <c r="Q9" i="7"/>
  <c r="AQ16" i="7"/>
  <c r="Q17" i="7"/>
  <c r="V29" i="13" a="1"/>
  <c r="BC18" i="7"/>
  <c r="AQ28" i="7"/>
  <c r="AD37" i="7"/>
  <c r="R27" i="7"/>
  <c r="V17" i="13" a="1"/>
  <c r="AF35" i="11" l="1"/>
  <c r="W42" i="7"/>
  <c r="A27" i="14"/>
  <c r="AA28" i="10"/>
  <c r="G25" i="8"/>
  <c r="AA23" i="10"/>
  <c r="A22" i="14"/>
  <c r="B23" i="7"/>
  <c r="A19" i="14"/>
  <c r="D19" i="7"/>
  <c r="H19" i="8"/>
  <c r="I18" i="9"/>
  <c r="E17" i="9"/>
  <c r="G17" i="9" s="1"/>
  <c r="A16" i="14"/>
  <c r="AA17" i="10"/>
  <c r="G15" i="7"/>
  <c r="D15" i="7"/>
  <c r="I13" i="9"/>
  <c r="G13" i="9"/>
  <c r="G13" i="8"/>
  <c r="AB15" i="13"/>
  <c r="AA58" i="13" a="1"/>
  <c r="AA58" i="13" s="1"/>
  <c r="AA6" i="10"/>
  <c r="AA6" i="13"/>
  <c r="AB6" i="13" s="1"/>
  <c r="A5" i="14"/>
  <c r="B4" i="7"/>
  <c r="AA4" i="10"/>
  <c r="A3" i="14"/>
  <c r="G3" i="14" s="1"/>
  <c r="AA4" i="13"/>
  <c r="AB4" i="13" s="1"/>
  <c r="E4" i="9"/>
  <c r="E4" i="8"/>
  <c r="G21" i="8"/>
  <c r="I17" i="9"/>
  <c r="E7" i="7"/>
  <c r="J22" i="8"/>
  <c r="E30" i="9"/>
  <c r="E31" i="7"/>
  <c r="AA10" i="10"/>
  <c r="A9" i="14"/>
  <c r="H35" i="8"/>
  <c r="I15" i="9"/>
  <c r="G28" i="8"/>
  <c r="F31" i="7"/>
  <c r="AA22" i="10"/>
  <c r="E10" i="9"/>
  <c r="G10" i="9" s="1"/>
  <c r="AA34" i="10"/>
  <c r="A29" i="14"/>
  <c r="G29" i="14" s="1"/>
  <c r="A33" i="14"/>
  <c r="J17" i="8"/>
  <c r="H4" i="8"/>
  <c r="E22" i="9"/>
  <c r="I22" i="9" s="1"/>
  <c r="AA54" i="13" a="1"/>
  <c r="AA54" i="13" s="1"/>
  <c r="E11" i="9"/>
  <c r="I11" i="9" s="1"/>
  <c r="B11" i="7"/>
  <c r="AA11" i="10"/>
  <c r="E11" i="8"/>
  <c r="A10" i="14"/>
  <c r="AA49" i="13" a="1"/>
  <c r="AA49" i="13" s="1"/>
  <c r="AA47" i="13" a="1"/>
  <c r="AA47" i="13" s="1"/>
  <c r="BJ29" i="7"/>
  <c r="BG18" i="7"/>
  <c r="BG10" i="7"/>
  <c r="BL38" i="7"/>
  <c r="BK38" i="7"/>
  <c r="I7" i="9"/>
  <c r="O29" i="7"/>
  <c r="BA36" i="7"/>
  <c r="AZ31" i="7"/>
  <c r="AZ39" i="7"/>
  <c r="BB39" i="7" s="1"/>
  <c r="BF38" i="7"/>
  <c r="O9" i="7"/>
  <c r="BA38" i="7"/>
  <c r="T40" i="7"/>
  <c r="BJ5" i="7"/>
  <c r="O32" i="7"/>
  <c r="BA31" i="7"/>
  <c r="BH39" i="7"/>
  <c r="BF39" i="7"/>
  <c r="AY38" i="7"/>
  <c r="BG38" i="7"/>
  <c r="O12" i="7"/>
  <c r="BC39" i="7"/>
  <c r="BE39" i="7" s="1"/>
  <c r="BC38" i="7"/>
  <c r="BE38" i="7" s="1"/>
  <c r="N40" i="7"/>
  <c r="BG36" i="7"/>
  <c r="BH36" i="7" s="1"/>
  <c r="O15" i="7"/>
  <c r="P32" i="7"/>
  <c r="AZ35" i="7"/>
  <c r="Q40" i="7"/>
  <c r="S40" i="7" s="1"/>
  <c r="AY39" i="7"/>
  <c r="AZ38" i="7"/>
  <c r="BB38" i="7" s="1"/>
  <c r="P12" i="7"/>
  <c r="BJ36" i="7"/>
  <c r="BK36" i="7" s="1"/>
  <c r="BG12" i="7"/>
  <c r="BG22" i="7"/>
  <c r="BG20" i="7"/>
  <c r="BG4" i="7"/>
  <c r="BI4" i="7" s="1"/>
  <c r="BG31" i="7"/>
  <c r="BH31" i="7" s="1"/>
  <c r="BH40" i="7"/>
  <c r="BG15" i="7"/>
  <c r="BH15" i="7" s="1"/>
  <c r="AO38" i="7"/>
  <c r="AN4" i="7"/>
  <c r="BL39" i="7"/>
  <c r="AN30" i="7"/>
  <c r="BJ22" i="7"/>
  <c r="BK22" i="7" s="1"/>
  <c r="AN17" i="7"/>
  <c r="AN6" i="7"/>
  <c r="BJ15" i="7"/>
  <c r="BL15" i="7" s="1"/>
  <c r="F40" i="14"/>
  <c r="AJ20" i="11"/>
  <c r="AK20" i="11" s="1"/>
  <c r="AF10" i="11"/>
  <c r="AJ25" i="11"/>
  <c r="AK25" i="11" s="1"/>
  <c r="AJ26" i="11"/>
  <c r="AK26" i="11" s="1"/>
  <c r="AJ13" i="11"/>
  <c r="AJ4" i="11"/>
  <c r="AJ7" i="11"/>
  <c r="AJ31" i="11"/>
  <c r="AJ32" i="11"/>
  <c r="AJ22" i="11"/>
  <c r="AJ23" i="11"/>
  <c r="AJ28" i="11"/>
  <c r="AJ29" i="11"/>
  <c r="AK29" i="11" s="1"/>
  <c r="AJ11" i="11"/>
  <c r="AJ10" i="11"/>
  <c r="AK10" i="11" s="1"/>
  <c r="AJ19" i="11"/>
  <c r="AJ8" i="11"/>
  <c r="AJ35" i="11"/>
  <c r="AJ16" i="11"/>
  <c r="AF8" i="11"/>
  <c r="AF7" i="11"/>
  <c r="AK7" i="11" s="1"/>
  <c r="AF5" i="11"/>
  <c r="AF20" i="11"/>
  <c r="AF16" i="11"/>
  <c r="AF31" i="11"/>
  <c r="AF32" i="11"/>
  <c r="AF23" i="11"/>
  <c r="AF11" i="11"/>
  <c r="AF13" i="11"/>
  <c r="AF14" i="11"/>
  <c r="AK14" i="11" s="1"/>
  <c r="AF29" i="11"/>
  <c r="AD40" i="12"/>
  <c r="AD58" i="12"/>
  <c r="AD47" i="12"/>
  <c r="AD26" i="12"/>
  <c r="AD19" i="12"/>
  <c r="AD22" i="12"/>
  <c r="AB35" i="7"/>
  <c r="I35" i="8"/>
  <c r="AA35" i="7"/>
  <c r="J35" i="8" s="1"/>
  <c r="P35" i="7"/>
  <c r="AN34" i="7"/>
  <c r="AM34" i="7"/>
  <c r="H34" i="9" s="1"/>
  <c r="G34" i="9"/>
  <c r="J34" i="8"/>
  <c r="BG34" i="7"/>
  <c r="BH34" i="7" s="1"/>
  <c r="Z28" i="7"/>
  <c r="AA28" i="7" s="1"/>
  <c r="AM27" i="7"/>
  <c r="H27" i="9" s="1"/>
  <c r="AY25" i="7"/>
  <c r="BA25" i="7" s="1"/>
  <c r="BJ25" i="7"/>
  <c r="BG25" i="7"/>
  <c r="BH25" i="7" s="1"/>
  <c r="AA25" i="7"/>
  <c r="AO25" i="7" s="1"/>
  <c r="AZ20" i="7"/>
  <c r="O20" i="7"/>
  <c r="AY18" i="7"/>
  <c r="AZ18" i="7" s="1"/>
  <c r="J17" i="9"/>
  <c r="I17" i="8"/>
  <c r="BG17" i="7"/>
  <c r="BH17" i="7" s="1"/>
  <c r="AY14" i="7"/>
  <c r="AZ14" i="7" s="1"/>
  <c r="BG11" i="7"/>
  <c r="BH11" i="7" s="1"/>
  <c r="BI11" i="7" s="1"/>
  <c r="I10" i="8"/>
  <c r="O27" i="7"/>
  <c r="P27" i="7"/>
  <c r="BH29" i="7"/>
  <c r="BI29" i="7"/>
  <c r="BK37" i="7"/>
  <c r="BL37" i="7"/>
  <c r="O16" i="7"/>
  <c r="P16" i="7"/>
  <c r="N26" i="7"/>
  <c r="AB26" i="7" s="1"/>
  <c r="N6" i="7"/>
  <c r="T36" i="7"/>
  <c r="BB17" i="7"/>
  <c r="BA37" i="7"/>
  <c r="P26" i="7"/>
  <c r="Z38" i="7"/>
  <c r="AZ37" i="7"/>
  <c r="BB37" i="7" s="1"/>
  <c r="P39" i="7"/>
  <c r="N25" i="7"/>
  <c r="N17" i="7"/>
  <c r="N5" i="7"/>
  <c r="BG30" i="7"/>
  <c r="BI30" i="7" s="1"/>
  <c r="BJ32" i="7"/>
  <c r="BK32" i="7" s="1"/>
  <c r="BG27" i="7"/>
  <c r="BH27" i="7" s="1"/>
  <c r="BJ31" i="7"/>
  <c r="BK31" i="7" s="1"/>
  <c r="AZ10" i="7"/>
  <c r="S4" i="7"/>
  <c r="N30" i="7"/>
  <c r="AB30" i="7" s="1"/>
  <c r="N22" i="7"/>
  <c r="N14" i="7"/>
  <c r="AL28" i="7"/>
  <c r="AM28" i="7" s="1"/>
  <c r="AN25" i="7"/>
  <c r="BA19" i="7"/>
  <c r="BA17" i="7"/>
  <c r="Z10" i="7"/>
  <c r="AA10" i="7" s="1"/>
  <c r="BG26" i="7"/>
  <c r="BJ19" i="7"/>
  <c r="BJ27" i="7"/>
  <c r="BK27" i="7" s="1"/>
  <c r="AM6" i="7"/>
  <c r="H6" i="9" s="1"/>
  <c r="H25" i="9"/>
  <c r="AY37" i="7"/>
  <c r="J4" i="8"/>
  <c r="AC38" i="7"/>
  <c r="AE38" i="7" s="1"/>
  <c r="N39" i="7"/>
  <c r="N36" i="7"/>
  <c r="N34" i="7"/>
  <c r="N29" i="7"/>
  <c r="AB29" i="7" s="1"/>
  <c r="N24" i="7"/>
  <c r="P24" i="7" s="1"/>
  <c r="N7" i="7"/>
  <c r="O7" i="7" s="1"/>
  <c r="AL21" i="7"/>
  <c r="AM21" i="7" s="1"/>
  <c r="H21" i="9" s="1"/>
  <c r="Z18" i="7"/>
  <c r="AA18" i="7" s="1"/>
  <c r="BJ17" i="7"/>
  <c r="BG32" i="7"/>
  <c r="BH32" i="7" s="1"/>
  <c r="BA27" i="7"/>
  <c r="BA22" i="7"/>
  <c r="AY33" i="7"/>
  <c r="AZ33" i="7" s="1"/>
  <c r="I33" i="9"/>
  <c r="BJ33" i="7"/>
  <c r="BG33" i="7"/>
  <c r="BH33" i="7" s="1"/>
  <c r="AL33" i="7"/>
  <c r="Z33" i="7"/>
  <c r="N33" i="7"/>
  <c r="BA28" i="7"/>
  <c r="AZ28" i="7"/>
  <c r="BB28" i="7" s="1"/>
  <c r="I28" i="9"/>
  <c r="BG28" i="7"/>
  <c r="BJ28" i="7"/>
  <c r="BK28" i="7" s="1"/>
  <c r="BL28" i="7" s="1"/>
  <c r="N28" i="7"/>
  <c r="AB28" i="7" s="1"/>
  <c r="AZ27" i="7"/>
  <c r="BB27" i="7" s="1"/>
  <c r="Z27" i="7"/>
  <c r="AB27" i="7" s="1"/>
  <c r="AY23" i="7"/>
  <c r="BJ23" i="7"/>
  <c r="BK23" i="7" s="1"/>
  <c r="AL23" i="7"/>
  <c r="AN23" i="7" s="1"/>
  <c r="BG23" i="7"/>
  <c r="N23" i="7"/>
  <c r="BG21" i="7"/>
  <c r="BH21" i="7" s="1"/>
  <c r="J21" i="9"/>
  <c r="G21" i="9"/>
  <c r="BJ21" i="7"/>
  <c r="J21" i="8"/>
  <c r="AO21" i="7"/>
  <c r="N21" i="7"/>
  <c r="N18" i="7"/>
  <c r="AB18" i="7" s="1"/>
  <c r="BA16" i="7"/>
  <c r="AA16" i="7"/>
  <c r="AB16" i="7"/>
  <c r="BJ13" i="7"/>
  <c r="BK13" i="7" s="1"/>
  <c r="BL13" i="7" s="1"/>
  <c r="AL13" i="7"/>
  <c r="AM13" i="7" s="1"/>
  <c r="AA13" i="7"/>
  <c r="J13" i="8" s="1"/>
  <c r="BG13" i="7"/>
  <c r="BH13" i="7" s="1"/>
  <c r="N13" i="7"/>
  <c r="AZ11" i="7"/>
  <c r="BA11" i="7"/>
  <c r="AN11" i="7"/>
  <c r="N11" i="7"/>
  <c r="P11" i="7" s="1"/>
  <c r="BA10" i="7"/>
  <c r="I10" i="9"/>
  <c r="AN10" i="7"/>
  <c r="AM10" i="7"/>
  <c r="H10" i="9" s="1"/>
  <c r="N10" i="7"/>
  <c r="O10" i="7" s="1"/>
  <c r="H10" i="8" s="1"/>
  <c r="BG9" i="7"/>
  <c r="BA9" i="7"/>
  <c r="K28" i="13"/>
  <c r="M28" i="13" s="1"/>
  <c r="S7" i="7"/>
  <c r="S36" i="7"/>
  <c r="S37" i="7"/>
  <c r="S38" i="7"/>
  <c r="S39" i="7"/>
  <c r="Z9" i="7"/>
  <c r="AN9" i="7" s="1"/>
  <c r="BJ8" i="7"/>
  <c r="BK8" i="7" s="1"/>
  <c r="BG8" i="7"/>
  <c r="AB8" i="4"/>
  <c r="AD7" i="4"/>
  <c r="AE7" i="4" s="1"/>
  <c r="AC7" i="4"/>
  <c r="AC6" i="4"/>
  <c r="AD6" i="4"/>
  <c r="AE6" i="4" s="1"/>
  <c r="W8" i="4"/>
  <c r="Q8" i="4"/>
  <c r="J8" i="4"/>
  <c r="K7" i="4"/>
  <c r="K6" i="4"/>
  <c r="H8" i="4"/>
  <c r="B9" i="4"/>
  <c r="C8" i="4"/>
  <c r="E7" i="4"/>
  <c r="D8" i="4"/>
  <c r="AL8" i="7"/>
  <c r="AM8" i="7" s="1"/>
  <c r="H8" i="9" s="1"/>
  <c r="J8" i="9" s="1"/>
  <c r="K11" i="13"/>
  <c r="M11" i="13" s="1"/>
  <c r="O8" i="7"/>
  <c r="P8" i="7"/>
  <c r="AL7" i="7"/>
  <c r="AM7" i="7" s="1"/>
  <c r="BJ7" i="7"/>
  <c r="BK7" i="7" s="1"/>
  <c r="G7" i="9"/>
  <c r="Y41" i="7"/>
  <c r="BJ6" i="7"/>
  <c r="K22" i="13"/>
  <c r="M22" i="13" s="1"/>
  <c r="P23" i="13"/>
  <c r="Q23" i="13" s="1"/>
  <c r="K29" i="13"/>
  <c r="L29" i="13" s="1"/>
  <c r="BG5" i="7"/>
  <c r="K7" i="13"/>
  <c r="L7" i="13" s="1"/>
  <c r="K16" i="13"/>
  <c r="M16" i="13" s="1"/>
  <c r="P26" i="13"/>
  <c r="Q26" i="13" s="1"/>
  <c r="P24" i="13"/>
  <c r="R24" i="13" s="1"/>
  <c r="O5" i="7"/>
  <c r="P5" i="7"/>
  <c r="AK77" i="11"/>
  <c r="AK76" i="11"/>
  <c r="AK73" i="11"/>
  <c r="AK71" i="11"/>
  <c r="AK70" i="11"/>
  <c r="AK68" i="11"/>
  <c r="AK67" i="11"/>
  <c r="AK65" i="11"/>
  <c r="AK64" i="11"/>
  <c r="AK61" i="11"/>
  <c r="AF62" i="11"/>
  <c r="AK62" i="11" s="1"/>
  <c r="AK58" i="11"/>
  <c r="AF55" i="11"/>
  <c r="AK55" i="11" s="1"/>
  <c r="AK53" i="11"/>
  <c r="AK52" i="11"/>
  <c r="AK49" i="11"/>
  <c r="AK50" i="11"/>
  <c r="AK47" i="11"/>
  <c r="AK46" i="11"/>
  <c r="AK43" i="11"/>
  <c r="AK35" i="11"/>
  <c r="AK34" i="11"/>
  <c r="AK28" i="11"/>
  <c r="AK22" i="11"/>
  <c r="AH81" i="11"/>
  <c r="AF19" i="11"/>
  <c r="AF17" i="11"/>
  <c r="AK17" i="11" s="1"/>
  <c r="AI81" i="11"/>
  <c r="O81" i="11"/>
  <c r="AG81" i="11"/>
  <c r="AF4" i="11"/>
  <c r="AE81" i="11"/>
  <c r="AJ5" i="11"/>
  <c r="V81" i="11"/>
  <c r="P81" i="11"/>
  <c r="BH4" i="7"/>
  <c r="I4" i="9"/>
  <c r="AZ4" i="7"/>
  <c r="P9" i="13"/>
  <c r="Q9" i="13" s="1"/>
  <c r="P14" i="13"/>
  <c r="R14" i="13" s="1"/>
  <c r="K15" i="13"/>
  <c r="L15" i="13" s="1"/>
  <c r="P16" i="13"/>
  <c r="Q16" i="13" s="1"/>
  <c r="BA4" i="7"/>
  <c r="AY4" i="7"/>
  <c r="AX44" i="7" a="1"/>
  <c r="AX44" i="7" s="1"/>
  <c r="P19" i="13"/>
  <c r="Q19" i="13" s="1"/>
  <c r="P20" i="13"/>
  <c r="R20" i="13" s="1"/>
  <c r="K21" i="13"/>
  <c r="L21" i="13" s="1"/>
  <c r="BH14" i="7"/>
  <c r="BI14" i="7" s="1"/>
  <c r="BH30" i="7"/>
  <c r="BK6" i="7"/>
  <c r="BH26" i="7"/>
  <c r="BI26" i="7"/>
  <c r="BL32" i="7"/>
  <c r="BH23" i="7"/>
  <c r="AX41" i="7"/>
  <c r="AZ26" i="7"/>
  <c r="J26" i="9" s="1"/>
  <c r="AY34" i="7"/>
  <c r="BA34" i="7" s="1"/>
  <c r="AY6" i="7"/>
  <c r="BJ30" i="7"/>
  <c r="BL30" i="7" s="1"/>
  <c r="BG35" i="7"/>
  <c r="BJ26" i="7"/>
  <c r="BL26" i="7" s="1"/>
  <c r="K5" i="13"/>
  <c r="L5" i="13" s="1"/>
  <c r="BG6" i="7"/>
  <c r="BH6" i="7" s="1"/>
  <c r="J31" i="9"/>
  <c r="AX47" i="7" a="1"/>
  <c r="AX47" i="7" s="1"/>
  <c r="BI19" i="7"/>
  <c r="I30" i="9"/>
  <c r="I35" i="9"/>
  <c r="BA26" i="7"/>
  <c r="BA35" i="7"/>
  <c r="BB15" i="7"/>
  <c r="BG7" i="7"/>
  <c r="BJ9" i="7"/>
  <c r="BA12" i="7"/>
  <c r="BG24" i="7"/>
  <c r="BH24" i="7" s="1"/>
  <c r="BA24" i="7"/>
  <c r="BA20" i="7"/>
  <c r="BB31" i="7"/>
  <c r="J32" i="9"/>
  <c r="BB8" i="7"/>
  <c r="BJ34" i="7"/>
  <c r="BJ35" i="7"/>
  <c r="BJ10" i="7"/>
  <c r="BK10" i="7" s="1"/>
  <c r="BG16" i="7"/>
  <c r="BH16" i="7" s="1"/>
  <c r="K19" i="13"/>
  <c r="M19" i="13" s="1"/>
  <c r="K20" i="13"/>
  <c r="M20" i="13" s="1"/>
  <c r="K26" i="13"/>
  <c r="BK26" i="7"/>
  <c r="BK17" i="7"/>
  <c r="BK5" i="7"/>
  <c r="BL5" i="7" s="1"/>
  <c r="H15" i="9"/>
  <c r="J15" i="9" s="1"/>
  <c r="AO17" i="7"/>
  <c r="BL36" i="7"/>
  <c r="G22" i="9"/>
  <c r="AK41" i="7"/>
  <c r="H37" i="7"/>
  <c r="AL30" i="7"/>
  <c r="BA30" i="7" s="1"/>
  <c r="AN18" i="7"/>
  <c r="AN16" i="7"/>
  <c r="BJ18" i="7"/>
  <c r="BJ24" i="7"/>
  <c r="P6" i="13"/>
  <c r="R6" i="13" s="1"/>
  <c r="K8" i="13"/>
  <c r="M8" i="13" s="1"/>
  <c r="P22" i="13"/>
  <c r="Q22" i="13" s="1"/>
  <c r="K23" i="13"/>
  <c r="M23" i="13" s="1"/>
  <c r="K25" i="13"/>
  <c r="BJ12" i="7"/>
  <c r="AO10" i="7"/>
  <c r="AO26" i="7"/>
  <c r="G35" i="9"/>
  <c r="BJ11" i="7"/>
  <c r="AM19" i="7"/>
  <c r="AM35" i="7"/>
  <c r="AN35" i="7"/>
  <c r="AM14" i="7"/>
  <c r="AM4" i="7"/>
  <c r="AM18" i="7"/>
  <c r="AM12" i="7"/>
  <c r="AM24" i="7"/>
  <c r="H24" i="9" s="1"/>
  <c r="J24" i="9" s="1"/>
  <c r="AM22" i="7"/>
  <c r="AO22" i="7" s="1"/>
  <c r="AM16" i="7"/>
  <c r="AM20" i="7"/>
  <c r="P4" i="13"/>
  <c r="R4" i="13" s="1"/>
  <c r="P5" i="13"/>
  <c r="K14" i="13"/>
  <c r="L14" i="13" s="1"/>
  <c r="P15" i="13"/>
  <c r="Q15" i="13" s="1"/>
  <c r="K17" i="13"/>
  <c r="P18" i="13"/>
  <c r="Q18" i="13" s="1"/>
  <c r="G30" i="9"/>
  <c r="G18" i="9"/>
  <c r="G11" i="9"/>
  <c r="AO15" i="7"/>
  <c r="AM30" i="7"/>
  <c r="H30" i="9" s="1"/>
  <c r="J30" i="9" s="1"/>
  <c r="AO31" i="7"/>
  <c r="AM11" i="7"/>
  <c r="AN24" i="7"/>
  <c r="AN19" i="7"/>
  <c r="AN14" i="7"/>
  <c r="AL5" i="7"/>
  <c r="BA5" i="7" s="1"/>
  <c r="BJ4" i="7"/>
  <c r="BJ14" i="7"/>
  <c r="AM9" i="7"/>
  <c r="AN15" i="7"/>
  <c r="BJ16" i="7"/>
  <c r="BJ20" i="7"/>
  <c r="K6" i="13"/>
  <c r="K12" i="13"/>
  <c r="P13" i="13"/>
  <c r="K24" i="13"/>
  <c r="M24" i="13" s="1"/>
  <c r="P29" i="13"/>
  <c r="Q29" i="13" s="1"/>
  <c r="BI12" i="7"/>
  <c r="BH12" i="7"/>
  <c r="BI32" i="7"/>
  <c r="BH10" i="7"/>
  <c r="BI10" i="7" s="1"/>
  <c r="BH22" i="7"/>
  <c r="BI22" i="7"/>
  <c r="BH5" i="7"/>
  <c r="BI5" i="7" s="1"/>
  <c r="BH18" i="7"/>
  <c r="BI18" i="7" s="1"/>
  <c r="BH20" i="7"/>
  <c r="BI20" i="7" s="1"/>
  <c r="BH28" i="7"/>
  <c r="BI28" i="7" s="1"/>
  <c r="BI36" i="7"/>
  <c r="BI27" i="7"/>
  <c r="AA6" i="7"/>
  <c r="AO6" i="7" s="1"/>
  <c r="AA32" i="7"/>
  <c r="AO32" i="7" s="1"/>
  <c r="BI31" i="7"/>
  <c r="I22" i="8"/>
  <c r="AA37" i="7"/>
  <c r="AO37" i="7" s="1"/>
  <c r="AB9" i="7"/>
  <c r="Z7" i="7"/>
  <c r="AN7" i="7" s="1"/>
  <c r="P27" i="13"/>
  <c r="AA12" i="7"/>
  <c r="BI34" i="7"/>
  <c r="Z37" i="7"/>
  <c r="AB7" i="7"/>
  <c r="Z32" i="7"/>
  <c r="AN32" i="7" s="1"/>
  <c r="Z20" i="7"/>
  <c r="AB20" i="7" s="1"/>
  <c r="Z12" i="7"/>
  <c r="AN12" i="7" s="1"/>
  <c r="Z8" i="7"/>
  <c r="Z5" i="7"/>
  <c r="P25" i="13"/>
  <c r="AC37" i="7"/>
  <c r="BG37" i="7"/>
  <c r="AB22" i="7"/>
  <c r="AB12" i="7"/>
  <c r="AB4" i="7"/>
  <c r="Z22" i="7"/>
  <c r="AN22" i="7" s="1"/>
  <c r="P12" i="13"/>
  <c r="R12" i="13" s="1"/>
  <c r="K13" i="13"/>
  <c r="M13" i="13" s="1"/>
  <c r="P17" i="13"/>
  <c r="R17" i="13" s="1"/>
  <c r="K18" i="13"/>
  <c r="P28" i="13"/>
  <c r="R28" i="13" s="1"/>
  <c r="AB6" i="7"/>
  <c r="G30" i="8"/>
  <c r="P34" i="7"/>
  <c r="O30" i="7"/>
  <c r="O11" i="7"/>
  <c r="O26" i="7"/>
  <c r="P14" i="7"/>
  <c r="G34" i="8"/>
  <c r="P22" i="7"/>
  <c r="P18" i="7"/>
  <c r="M41" i="7"/>
  <c r="P7" i="7"/>
  <c r="P30" i="7"/>
  <c r="W41" i="7"/>
  <c r="Y45" i="7" a="1"/>
  <c r="Y45" i="7" s="1"/>
  <c r="AD36" i="8" a="1"/>
  <c r="AD36" i="8" s="1"/>
  <c r="AJ36" i="8" s="1"/>
  <c r="H29" i="9"/>
  <c r="J29" i="9" s="1"/>
  <c r="AD40" i="9" a="1"/>
  <c r="AD40" i="9" s="1"/>
  <c r="AK40" i="9" s="1"/>
  <c r="AD38" i="8" a="1"/>
  <c r="AD38" i="8" s="1"/>
  <c r="AK38" i="8" s="1"/>
  <c r="L34" i="8" a="1"/>
  <c r="L34" i="8" s="1"/>
  <c r="R34" i="8" s="1"/>
  <c r="AD27" i="9" a="1"/>
  <c r="AD27" i="9" s="1"/>
  <c r="AK27" i="9" s="1"/>
  <c r="AD30" i="9" a="1"/>
  <c r="AD30" i="9" s="1"/>
  <c r="AM30" i="9" s="1"/>
  <c r="H28" i="9"/>
  <c r="J28" i="9" s="1"/>
  <c r="AK46" i="7" a="1"/>
  <c r="AK46" i="7" s="1"/>
  <c r="AK47" i="7" a="1"/>
  <c r="AK47" i="7" s="1"/>
  <c r="L24" i="9" a="1"/>
  <c r="L24" i="9" s="1"/>
  <c r="T24" i="9" s="1"/>
  <c r="U24" i="9" s="1"/>
  <c r="Y47" i="7" a="1"/>
  <c r="Y47" i="7" s="1"/>
  <c r="AD36" i="9" a="1"/>
  <c r="AD36" i="9" s="1"/>
  <c r="AJ36" i="9" s="1"/>
  <c r="L25" i="9" a="1"/>
  <c r="L25" i="9" s="1"/>
  <c r="T25" i="9" s="1"/>
  <c r="U25" i="9" s="1"/>
  <c r="M47" i="7" a="1"/>
  <c r="M47" i="7" s="1"/>
  <c r="Y42" i="7" a="1"/>
  <c r="Y42" i="7" s="1"/>
  <c r="M48" i="7" a="1"/>
  <c r="M48" i="7" s="1"/>
  <c r="AD33" i="9" a="1"/>
  <c r="AD33" i="9" s="1"/>
  <c r="AK33" i="9" s="1"/>
  <c r="AK42" i="7" a="1"/>
  <c r="AK42" i="7" s="1"/>
  <c r="Y49" i="7" a="1"/>
  <c r="Y49" i="7" s="1"/>
  <c r="AD28" i="8" a="1"/>
  <c r="AD28" i="8" s="1"/>
  <c r="AL28" i="8" s="1"/>
  <c r="AM28" i="8" s="1"/>
  <c r="L39" i="8" a="1"/>
  <c r="L39" i="8" s="1"/>
  <c r="R39" i="8" s="1"/>
  <c r="L31" i="8" a="1"/>
  <c r="L31" i="8" s="1"/>
  <c r="R31" i="8" s="1"/>
  <c r="L23" i="8" a="1"/>
  <c r="L23" i="8" s="1"/>
  <c r="S23" i="8" s="1"/>
  <c r="U23" i="8" s="1"/>
  <c r="F47" i="14" a="1"/>
  <c r="F47" i="14" s="1"/>
  <c r="L36" i="9" a="1"/>
  <c r="L36" i="9" s="1"/>
  <c r="R36" i="9" s="1"/>
  <c r="AD25" i="9" a="1"/>
  <c r="AD25" i="9" s="1"/>
  <c r="L28" i="9" a="1"/>
  <c r="L28" i="9" s="1"/>
  <c r="R28" i="9" s="1"/>
  <c r="AD32" i="9" a="1"/>
  <c r="AD32" i="9" s="1"/>
  <c r="AK32" i="9" s="1"/>
  <c r="L22" i="9" a="1"/>
  <c r="L22" i="9" s="1"/>
  <c r="L26" i="9" a="1"/>
  <c r="L26" i="9" s="1"/>
  <c r="R26" i="9" s="1"/>
  <c r="AD29" i="9" a="1"/>
  <c r="AD29" i="9" s="1"/>
  <c r="AK29" i="9" s="1"/>
  <c r="L33" i="9" a="1"/>
  <c r="L33" i="9" s="1"/>
  <c r="S33" i="9" s="1"/>
  <c r="L39" i="9" a="1"/>
  <c r="L39" i="9" s="1"/>
  <c r="R39" i="9" s="1"/>
  <c r="L23" i="9" a="1"/>
  <c r="L23" i="9" s="1"/>
  <c r="R23" i="9" s="1"/>
  <c r="AD23" i="9" a="1"/>
  <c r="AD23" i="9" s="1"/>
  <c r="L27" i="9" a="1"/>
  <c r="L27" i="9" s="1"/>
  <c r="S27" i="9" s="1"/>
  <c r="L30" i="9" a="1"/>
  <c r="L30" i="9" s="1"/>
  <c r="T30" i="9" s="1"/>
  <c r="U30" i="9" s="1"/>
  <c r="L22" i="8" a="1"/>
  <c r="L22" i="8" s="1"/>
  <c r="AD23" i="8" a="1"/>
  <c r="AD23" i="8" s="1"/>
  <c r="AD26" i="8" a="1"/>
  <c r="AD26" i="8" s="1"/>
  <c r="AJ26" i="8" s="1"/>
  <c r="L29" i="8" a="1"/>
  <c r="L29" i="8" s="1"/>
  <c r="L32" i="8" a="1"/>
  <c r="L32" i="8" s="1"/>
  <c r="R32" i="8" s="1"/>
  <c r="AD34" i="8" a="1"/>
  <c r="AD34" i="8" s="1"/>
  <c r="AL34" i="8" s="1"/>
  <c r="AM34" i="8" s="1"/>
  <c r="L37" i="8" a="1"/>
  <c r="L37" i="8" s="1"/>
  <c r="S37" i="8" s="1"/>
  <c r="U37" i="8" s="1"/>
  <c r="L40" i="8" a="1"/>
  <c r="L40" i="8" s="1"/>
  <c r="R40" i="8" s="1"/>
  <c r="L24" i="8" a="1"/>
  <c r="L24" i="8" s="1"/>
  <c r="S24" i="8" s="1"/>
  <c r="U24" i="8" s="1"/>
  <c r="AD24" i="8" a="1"/>
  <c r="AD24" i="8" s="1"/>
  <c r="L27" i="8" a="1"/>
  <c r="L27" i="8" s="1"/>
  <c r="T27" i="8" s="1"/>
  <c r="L30" i="8" a="1"/>
  <c r="L30" i="8" s="1"/>
  <c r="AD32" i="8" a="1"/>
  <c r="AD32" i="8" s="1"/>
  <c r="AJ32" i="8" s="1"/>
  <c r="L35" i="8" a="1"/>
  <c r="L35" i="8" s="1"/>
  <c r="T35" i="8" s="1"/>
  <c r="L38" i="8" a="1"/>
  <c r="L38" i="8" s="1"/>
  <c r="S38" i="8" s="1"/>
  <c r="U38" i="8" s="1"/>
  <c r="AD40" i="8" a="1"/>
  <c r="AD40" i="8" s="1"/>
  <c r="AK40" i="8" s="1"/>
  <c r="AD39" i="8" a="1"/>
  <c r="AD39" i="8" s="1"/>
  <c r="AJ39" i="8" s="1"/>
  <c r="L25" i="8" a="1"/>
  <c r="L25" i="8" s="1"/>
  <c r="S25" i="8" s="1"/>
  <c r="U25" i="8" s="1"/>
  <c r="L28" i="8" a="1"/>
  <c r="L28" i="8" s="1"/>
  <c r="T28" i="8" s="1"/>
  <c r="AD30" i="8" a="1"/>
  <c r="AD30" i="8" s="1"/>
  <c r="AK30" i="8" s="1"/>
  <c r="L33" i="8" a="1"/>
  <c r="L33" i="8" s="1"/>
  <c r="R33" i="8" s="1"/>
  <c r="L36" i="8" a="1"/>
  <c r="L36" i="8" s="1"/>
  <c r="T36" i="8" s="1"/>
  <c r="F48" i="14" a="1"/>
  <c r="F48" i="14" s="1"/>
  <c r="AD25" i="8" a="1"/>
  <c r="AD25" i="8" s="1"/>
  <c r="AD27" i="8" a="1"/>
  <c r="AD27" i="8" s="1"/>
  <c r="AL27" i="8" s="1"/>
  <c r="AM27" i="8" s="1"/>
  <c r="AD29" i="8" a="1"/>
  <c r="AD29" i="8" s="1"/>
  <c r="AJ29" i="8" s="1"/>
  <c r="AD31" i="8" a="1"/>
  <c r="AD31" i="8" s="1"/>
  <c r="AK31" i="8" s="1"/>
  <c r="AD33" i="8" a="1"/>
  <c r="AD33" i="8" s="1"/>
  <c r="AL33" i="8" s="1"/>
  <c r="AM33" i="8" s="1"/>
  <c r="AD35" i="8" a="1"/>
  <c r="AD35" i="8" s="1"/>
  <c r="AJ35" i="8" s="1"/>
  <c r="AD37" i="8" a="1"/>
  <c r="AD37" i="8" s="1"/>
  <c r="AK37" i="8" s="1"/>
  <c r="AD24" i="9" a="1"/>
  <c r="AD24" i="9" s="1"/>
  <c r="AD26" i="9" a="1"/>
  <c r="AD26" i="9" s="1"/>
  <c r="AL26" i="9" s="1"/>
  <c r="AD28" i="9" a="1"/>
  <c r="AD28" i="9" s="1"/>
  <c r="AM28" i="9" s="1"/>
  <c r="AD31" i="9" a="1"/>
  <c r="AD31" i="9" s="1"/>
  <c r="AL31" i="9" s="1"/>
  <c r="L40" i="9" a="1"/>
  <c r="L40" i="9" s="1"/>
  <c r="T40" i="9" s="1"/>
  <c r="U40" i="9" s="1"/>
  <c r="L32" i="9" a="1"/>
  <c r="L32" i="9" s="1"/>
  <c r="T32" i="9" s="1"/>
  <c r="U32" i="9" s="1"/>
  <c r="AD34" i="9" a="1"/>
  <c r="AD34" i="9" s="1"/>
  <c r="AL34" i="9" s="1"/>
  <c r="AD37" i="9" a="1"/>
  <c r="AD37" i="9" s="1"/>
  <c r="AM37" i="9" s="1"/>
  <c r="F45" i="14" a="1"/>
  <c r="F45" i="14" s="1"/>
  <c r="L35" i="9" a="1"/>
  <c r="L35" i="9" s="1"/>
  <c r="T35" i="9" s="1"/>
  <c r="U35" i="9" s="1"/>
  <c r="L38" i="9" a="1"/>
  <c r="L38" i="9" s="1"/>
  <c r="R38" i="9" s="1"/>
  <c r="AD39" i="9" a="1"/>
  <c r="AD39" i="9" s="1"/>
  <c r="AL39" i="9" s="1"/>
  <c r="F46" i="14" a="1"/>
  <c r="F46" i="14" s="1"/>
  <c r="Z44" i="7" a="1"/>
  <c r="Z44" i="7" s="1"/>
  <c r="AL43" i="7" a="1"/>
  <c r="AL43" i="7" s="1"/>
  <c r="AK45" i="7" a="1"/>
  <c r="AK45" i="7" s="1"/>
  <c r="AK44" i="7" a="1"/>
  <c r="AK44" i="7" s="1"/>
  <c r="AX46" i="7" a="1"/>
  <c r="AX46" i="7" s="1"/>
  <c r="AK43" i="7" a="1"/>
  <c r="AK43" i="7" s="1"/>
  <c r="AK49" i="7" a="1"/>
  <c r="AK49" i="7" s="1"/>
  <c r="M43" i="7" a="1"/>
  <c r="M43" i="7" s="1"/>
  <c r="AV41" i="7"/>
  <c r="M49" i="7" a="1"/>
  <c r="M49" i="7" s="1"/>
  <c r="AV42" i="7"/>
  <c r="K41" i="7"/>
  <c r="Z49" i="7" a="1"/>
  <c r="Z49" i="7" s="1"/>
  <c r="Y46" i="7" a="1"/>
  <c r="Y46" i="7" s="1"/>
  <c r="AX42" i="7" a="1"/>
  <c r="AX42" i="7" s="1"/>
  <c r="AX43" i="7" a="1"/>
  <c r="AX43" i="7" s="1"/>
  <c r="AX48" i="7" a="1"/>
  <c r="AX48" i="7" s="1"/>
  <c r="Y44" i="7" a="1"/>
  <c r="Y44" i="7" s="1"/>
  <c r="N46" i="7" a="1"/>
  <c r="N46" i="7" s="1"/>
  <c r="K42" i="7"/>
  <c r="AI41" i="7"/>
  <c r="M45" i="7" a="1"/>
  <c r="M45" i="7" s="1"/>
  <c r="Z46" i="7" a="1"/>
  <c r="Z46" i="7" s="1"/>
  <c r="AY42" i="7" a="1"/>
  <c r="AY42" i="7" s="1"/>
  <c r="Y48" i="7" a="1"/>
  <c r="Y48" i="7" s="1"/>
  <c r="Y43" i="7" a="1"/>
  <c r="Y43" i="7" s="1"/>
  <c r="AX49" i="7" a="1"/>
  <c r="AX49" i="7" s="1"/>
  <c r="AK48" i="7" a="1"/>
  <c r="AK48" i="7" s="1"/>
  <c r="AX45" i="7" a="1"/>
  <c r="AX45" i="7" s="1"/>
  <c r="N47" i="7" a="1"/>
  <c r="N47" i="7" s="1"/>
  <c r="M44" i="7" a="1"/>
  <c r="M44" i="7" s="1"/>
  <c r="AI42" i="7"/>
  <c r="M42" i="7" a="1"/>
  <c r="M42" i="7" s="1"/>
  <c r="M46" i="7" a="1"/>
  <c r="M46" i="7" s="1"/>
  <c r="B41" i="14"/>
  <c r="F42" i="14" a="1"/>
  <c r="F42" i="14" s="1"/>
  <c r="F41" i="14" a="1"/>
  <c r="F41" i="14" s="1"/>
  <c r="L29" i="9" a="1"/>
  <c r="L29" i="9" s="1"/>
  <c r="L31" i="9" a="1"/>
  <c r="L31" i="9" s="1"/>
  <c r="R31" i="9" s="1"/>
  <c r="L34" i="9" a="1"/>
  <c r="L34" i="9" s="1"/>
  <c r="R34" i="9" s="1"/>
  <c r="AD35" i="9" a="1"/>
  <c r="AD35" i="9" s="1"/>
  <c r="AK35" i="9" s="1"/>
  <c r="L37" i="9" a="1"/>
  <c r="L37" i="9" s="1"/>
  <c r="AD38" i="9" a="1"/>
  <c r="AD38" i="9" s="1"/>
  <c r="AM38" i="9" s="1"/>
  <c r="F44" i="14" a="1"/>
  <c r="F44" i="14" s="1"/>
  <c r="B42" i="14"/>
  <c r="F43" i="14" a="1"/>
  <c r="F43" i="14" s="1"/>
  <c r="AB23" i="13"/>
  <c r="AA66" i="13" a="1"/>
  <c r="AA66" i="13" s="1"/>
  <c r="I11" i="8"/>
  <c r="J11" i="8"/>
  <c r="J10" i="8"/>
  <c r="J29" i="8"/>
  <c r="G11" i="8"/>
  <c r="E23" i="9"/>
  <c r="I31" i="8"/>
  <c r="J31" i="8"/>
  <c r="D36" i="7"/>
  <c r="F36" i="7"/>
  <c r="E19" i="7"/>
  <c r="G19" i="7"/>
  <c r="E5" i="9"/>
  <c r="A4" i="14"/>
  <c r="G4" i="14" s="1"/>
  <c r="E5" i="8"/>
  <c r="AA7" i="13"/>
  <c r="A6" i="14"/>
  <c r="E7" i="8"/>
  <c r="AA7" i="10"/>
  <c r="P10" i="13"/>
  <c r="K27" i="13"/>
  <c r="A32" i="14"/>
  <c r="E33" i="8"/>
  <c r="AA33" i="10"/>
  <c r="J19" i="8"/>
  <c r="H11" i="8"/>
  <c r="I34" i="9"/>
  <c r="G7" i="7"/>
  <c r="E20" i="9"/>
  <c r="E9" i="8"/>
  <c r="E6" i="8"/>
  <c r="B6" i="7"/>
  <c r="E6" i="9"/>
  <c r="E12" i="9"/>
  <c r="A11" i="14"/>
  <c r="G11" i="14" s="1"/>
  <c r="E12" i="8"/>
  <c r="H12" i="8" s="1"/>
  <c r="AA16" i="13"/>
  <c r="A15" i="14"/>
  <c r="B16" i="7"/>
  <c r="E16" i="8"/>
  <c r="E16" i="9"/>
  <c r="AA18" i="10"/>
  <c r="E18" i="8"/>
  <c r="A17" i="14"/>
  <c r="E26" i="8"/>
  <c r="E26" i="9"/>
  <c r="AA62" i="13" a="1"/>
  <c r="AA62" i="13" s="1"/>
  <c r="H29" i="8"/>
  <c r="G19" i="8"/>
  <c r="G10" i="8"/>
  <c r="G22" i="8"/>
  <c r="F7" i="7"/>
  <c r="E9" i="9"/>
  <c r="E20" i="8"/>
  <c r="I20" i="8" s="1"/>
  <c r="E23" i="8"/>
  <c r="I23" i="8" s="1"/>
  <c r="P11" i="13"/>
  <c r="K4" i="13"/>
  <c r="M4" i="13" s="1"/>
  <c r="P8" i="13"/>
  <c r="K9" i="13"/>
  <c r="P21" i="13"/>
  <c r="Q21" i="13" s="1"/>
  <c r="P7" i="13"/>
  <c r="R7" i="13" s="1"/>
  <c r="G23" i="7"/>
  <c r="E23" i="7"/>
  <c r="D23" i="7"/>
  <c r="F23" i="7"/>
  <c r="E11" i="7"/>
  <c r="F11" i="7"/>
  <c r="G11" i="7"/>
  <c r="D11" i="7"/>
  <c r="B8" i="7"/>
  <c r="AA8" i="13"/>
  <c r="A7" i="14"/>
  <c r="E8" i="9"/>
  <c r="E8" i="8"/>
  <c r="AA8" i="10"/>
  <c r="AA14" i="13"/>
  <c r="B14" i="7"/>
  <c r="E14" i="8"/>
  <c r="A13" i="14"/>
  <c r="E14" i="9"/>
  <c r="AA14" i="10"/>
  <c r="AA24" i="13"/>
  <c r="B24" i="7"/>
  <c r="AA24" i="10"/>
  <c r="E24" i="8"/>
  <c r="E24" i="9"/>
  <c r="A23" i="14"/>
  <c r="AA27" i="13"/>
  <c r="B27" i="7"/>
  <c r="E27" i="9"/>
  <c r="AA27" i="10"/>
  <c r="A26" i="14"/>
  <c r="E27" i="8"/>
  <c r="B32" i="7"/>
  <c r="AA32" i="13"/>
  <c r="AA32" i="10"/>
  <c r="A31" i="14"/>
  <c r="G31" i="14" s="1"/>
  <c r="E32" i="9"/>
  <c r="E32" i="8"/>
  <c r="I19" i="9"/>
  <c r="G19" i="9"/>
  <c r="I31" i="9"/>
  <c r="G31" i="9"/>
  <c r="G25" i="9"/>
  <c r="I25" i="9"/>
  <c r="J23" i="8"/>
  <c r="G23" i="8"/>
  <c r="I15" i="8"/>
  <c r="G15" i="8"/>
  <c r="H15" i="8"/>
  <c r="J15" i="8"/>
  <c r="I30" i="8"/>
  <c r="J30" i="8"/>
  <c r="H30" i="8"/>
  <c r="I12" i="8"/>
  <c r="AD21" i="9" a="1"/>
  <c r="AD21" i="9" s="1"/>
  <c r="G4" i="9"/>
  <c r="S26" i="8"/>
  <c r="U26" i="8" s="1"/>
  <c r="T26" i="8"/>
  <c r="R26" i="8"/>
  <c r="I25" i="8"/>
  <c r="J25" i="8"/>
  <c r="B5" i="7"/>
  <c r="AA5" i="13"/>
  <c r="K10" i="13"/>
  <c r="AA10" i="13"/>
  <c r="B10" i="7"/>
  <c r="B13" i="7"/>
  <c r="AA13" i="13"/>
  <c r="AA18" i="13"/>
  <c r="B18" i="7"/>
  <c r="B20" i="7"/>
  <c r="AA20" i="13"/>
  <c r="AA26" i="13"/>
  <c r="B26" i="7"/>
  <c r="AA29" i="13"/>
  <c r="B29" i="7"/>
  <c r="AA33" i="13"/>
  <c r="B33" i="7"/>
  <c r="AA9" i="13"/>
  <c r="B9" i="7"/>
  <c r="AA12" i="13"/>
  <c r="B12" i="7"/>
  <c r="AA17" i="13"/>
  <c r="B17" i="7"/>
  <c r="AA22" i="13"/>
  <c r="B22" i="7"/>
  <c r="AA28" i="13"/>
  <c r="B28" i="7"/>
  <c r="AA30" i="13"/>
  <c r="B30" i="7"/>
  <c r="AA34" i="13"/>
  <c r="B34" i="7"/>
  <c r="AA21" i="13"/>
  <c r="B21" i="7"/>
  <c r="AA25" i="13"/>
  <c r="B25" i="7"/>
  <c r="W81" i="12"/>
  <c r="BE18" i="7"/>
  <c r="BF18" i="7" s="1"/>
  <c r="BE37" i="7"/>
  <c r="BE16" i="7"/>
  <c r="BF16" i="7" s="1"/>
  <c r="AR9" i="7"/>
  <c r="AS9" i="7" s="1"/>
  <c r="AR26" i="7"/>
  <c r="AS26" i="7" s="1"/>
  <c r="BE35" i="7"/>
  <c r="BF35" i="7" s="1"/>
  <c r="BE24" i="7"/>
  <c r="BF24" i="7" s="1"/>
  <c r="AR16" i="7"/>
  <c r="AS16" i="7" s="1"/>
  <c r="AR36" i="7"/>
  <c r="AS36" i="7" s="1"/>
  <c r="AR23" i="7"/>
  <c r="AS23" i="7" s="1"/>
  <c r="AR21" i="7"/>
  <c r="AS21" i="7" s="1"/>
  <c r="AR22" i="7"/>
  <c r="AS22" i="7" s="1"/>
  <c r="BE4" i="7"/>
  <c r="BE34" i="7"/>
  <c r="BF34" i="7" s="1"/>
  <c r="BE26" i="7"/>
  <c r="BF26" i="7" s="1"/>
  <c r="BE32" i="7"/>
  <c r="BF32" i="7" s="1"/>
  <c r="AR29" i="7"/>
  <c r="AS29" i="7" s="1"/>
  <c r="BE25" i="7"/>
  <c r="BF25" i="7" s="1"/>
  <c r="BE30" i="7"/>
  <c r="BF30" i="7" s="1"/>
  <c r="AR32" i="7"/>
  <c r="AS32" i="7" s="1"/>
  <c r="BE21" i="7"/>
  <c r="BF21" i="7" s="1"/>
  <c r="BE22" i="7"/>
  <c r="BF22" i="7" s="1"/>
  <c r="BE20" i="7"/>
  <c r="BF20" i="7" s="1"/>
  <c r="AR30" i="7"/>
  <c r="AS30" i="7" s="1"/>
  <c r="BE36" i="7"/>
  <c r="BF36" i="7" s="1"/>
  <c r="BE9" i="7"/>
  <c r="BF9" i="7" s="1"/>
  <c r="BE29" i="7"/>
  <c r="BF29" i="7" s="1"/>
  <c r="AE7" i="7"/>
  <c r="AF7" i="7" s="1"/>
  <c r="AE6" i="7"/>
  <c r="AF6" i="7" s="1"/>
  <c r="BE11" i="7"/>
  <c r="BF11" i="7" s="1"/>
  <c r="AR28" i="7"/>
  <c r="AS28" i="7" s="1"/>
  <c r="BE40" i="7"/>
  <c r="AE39" i="7"/>
  <c r="AR37" i="7"/>
  <c r="AR4" i="7"/>
  <c r="AR18" i="7"/>
  <c r="AS18" i="7" s="1"/>
  <c r="AE40" i="7"/>
  <c r="AR40" i="7"/>
  <c r="AR34" i="7"/>
  <c r="AS34" i="7" s="1"/>
  <c r="AE36" i="7"/>
  <c r="AF36" i="7" s="1"/>
  <c r="H36" i="7" s="1"/>
  <c r="AR38" i="7"/>
  <c r="AR39" i="7"/>
  <c r="AR35" i="7"/>
  <c r="AS35" i="7" s="1"/>
  <c r="V22" i="13"/>
  <c r="V9" i="13"/>
  <c r="V14" i="13"/>
  <c r="V28" i="13"/>
  <c r="V20" i="13"/>
  <c r="V12" i="13"/>
  <c r="V26" i="13"/>
  <c r="V18" i="13"/>
  <c r="V10" i="13"/>
  <c r="V24" i="13"/>
  <c r="V16" i="13"/>
  <c r="V27" i="13"/>
  <c r="V23" i="13"/>
  <c r="V19" i="13"/>
  <c r="V15" i="13"/>
  <c r="V11" i="13"/>
  <c r="V7" i="13"/>
  <c r="V6" i="13"/>
  <c r="V5" i="13"/>
  <c r="V29" i="10"/>
  <c r="V29" i="13"/>
  <c r="V25" i="13"/>
  <c r="V21" i="13"/>
  <c r="V17" i="13"/>
  <c r="V13" i="13"/>
  <c r="V28" i="10"/>
  <c r="V8" i="13"/>
  <c r="V4" i="13"/>
  <c r="V27" i="10"/>
  <c r="V26" i="10"/>
  <c r="V25" i="10"/>
  <c r="V24" i="10"/>
  <c r="V23" i="10"/>
  <c r="V22" i="10"/>
  <c r="V21" i="10"/>
  <c r="V20" i="10"/>
  <c r="V19" i="10"/>
  <c r="V18" i="10"/>
  <c r="V17" i="10"/>
  <c r="V16" i="10"/>
  <c r="V15" i="10"/>
  <c r="V14" i="10"/>
  <c r="V13" i="10"/>
  <c r="V12" i="10"/>
  <c r="V11" i="10"/>
  <c r="V10" i="10"/>
  <c r="V9" i="10"/>
  <c r="V8" i="10"/>
  <c r="V7" i="10"/>
  <c r="V6" i="10"/>
  <c r="V5" i="10"/>
  <c r="V4" i="10"/>
  <c r="AD61" i="12"/>
  <c r="AD62" i="12"/>
  <c r="AD7" i="12"/>
  <c r="AD8" i="12"/>
  <c r="AB81" i="12"/>
  <c r="AD70" i="12"/>
  <c r="AD67" i="12"/>
  <c r="AD68" i="12"/>
  <c r="AD59" i="12"/>
  <c r="AD46" i="12"/>
  <c r="AD43" i="12"/>
  <c r="AD44" i="12"/>
  <c r="AD20" i="12"/>
  <c r="AD17" i="12"/>
  <c r="AD16" i="12"/>
  <c r="AC81" i="12"/>
  <c r="AD76" i="12"/>
  <c r="AD73" i="12"/>
  <c r="AD74" i="12"/>
  <c r="AD65" i="12"/>
  <c r="AD52" i="12"/>
  <c r="AD49" i="12"/>
  <c r="AD50" i="12"/>
  <c r="AD41" i="12"/>
  <c r="AD37" i="12"/>
  <c r="AD38" i="12"/>
  <c r="AD79" i="12"/>
  <c r="AD80" i="12"/>
  <c r="AD55" i="12"/>
  <c r="AD56" i="12"/>
  <c r="AD31" i="12"/>
  <c r="AD32" i="12"/>
  <c r="AD13" i="12"/>
  <c r="AD14" i="12"/>
  <c r="AD35" i="12"/>
  <c r="AD11" i="12"/>
  <c r="AD29" i="12"/>
  <c r="AD5" i="12"/>
  <c r="AD23" i="12"/>
  <c r="AD4" i="12"/>
  <c r="Q6" i="7"/>
  <c r="Q10" i="7"/>
  <c r="BC28" i="7"/>
  <c r="BC14" i="7"/>
  <c r="AP13" i="7"/>
  <c r="BC33" i="7"/>
  <c r="AP20" i="7"/>
  <c r="Q11" i="7"/>
  <c r="Q24" i="7"/>
  <c r="AP11" i="7"/>
  <c r="AC5" i="7"/>
  <c r="AP25" i="7"/>
  <c r="AD5" i="7"/>
  <c r="AC35" i="7"/>
  <c r="BC23" i="7"/>
  <c r="AP24" i="7"/>
  <c r="AC17" i="7"/>
  <c r="H20" i="8" l="1"/>
  <c r="F4" i="7"/>
  <c r="E4" i="7"/>
  <c r="G4" i="7"/>
  <c r="D4" i="7"/>
  <c r="AB34" i="10"/>
  <c r="I4" i="8"/>
  <c r="G4" i="8"/>
  <c r="L19" i="8" a="1"/>
  <c r="L19" i="8" s="1"/>
  <c r="N19" i="8" s="1"/>
  <c r="L21" i="9" a="1"/>
  <c r="L21" i="9" s="1"/>
  <c r="P21" i="9" s="1"/>
  <c r="O37" i="9"/>
  <c r="Q29" i="8"/>
  <c r="L21" i="8" a="1"/>
  <c r="L21" i="8" s="1"/>
  <c r="M21" i="8" s="1"/>
  <c r="L20" i="8" a="1"/>
  <c r="L20" i="8" s="1"/>
  <c r="P20" i="8" s="1"/>
  <c r="L18" i="8" a="1"/>
  <c r="L18" i="8" s="1"/>
  <c r="L19" i="9" a="1"/>
  <c r="L19" i="9" s="1"/>
  <c r="M19" i="9" s="1"/>
  <c r="L20" i="9" a="1"/>
  <c r="L20" i="9" s="1"/>
  <c r="N20" i="9" s="1"/>
  <c r="AI24" i="9"/>
  <c r="M30" i="8"/>
  <c r="AI23" i="9"/>
  <c r="L18" i="9" a="1"/>
  <c r="L18" i="9" s="1"/>
  <c r="N18" i="9" s="1"/>
  <c r="BK15" i="7"/>
  <c r="BL22" i="7"/>
  <c r="BK29" i="7"/>
  <c r="BL29" i="7"/>
  <c r="BI38" i="7"/>
  <c r="BH38" i="7"/>
  <c r="AB24" i="7"/>
  <c r="BI15" i="7"/>
  <c r="Z47" i="7" a="1"/>
  <c r="Z47" i="7" s="1"/>
  <c r="BH8" i="7"/>
  <c r="BI8" i="7" s="1"/>
  <c r="AA9" i="7"/>
  <c r="AO12" i="7"/>
  <c r="BL31" i="7"/>
  <c r="BA13" i="7"/>
  <c r="J10" i="9"/>
  <c r="BK30" i="7"/>
  <c r="BA8" i="7"/>
  <c r="AY45" i="7" a="1"/>
  <c r="AY45" i="7" s="1"/>
  <c r="AY48" i="7" a="1"/>
  <c r="AY48" i="7" s="1"/>
  <c r="AY49" i="7" a="1"/>
  <c r="AY49" i="7" s="1"/>
  <c r="BA6" i="7"/>
  <c r="AY46" i="7" a="1"/>
  <c r="AY46" i="7" s="1"/>
  <c r="AZ34" i="7"/>
  <c r="BB34" i="7" s="1"/>
  <c r="AY43" i="7" a="1"/>
  <c r="AY43" i="7" s="1"/>
  <c r="AY44" i="7" a="1"/>
  <c r="AY44" i="7" s="1"/>
  <c r="BA14" i="7"/>
  <c r="AK19" i="11"/>
  <c r="AK11" i="11"/>
  <c r="AK16" i="11"/>
  <c r="AK31" i="11"/>
  <c r="AK13" i="11"/>
  <c r="AK32" i="11"/>
  <c r="AK23" i="11"/>
  <c r="AK8" i="11"/>
  <c r="AJ81" i="11"/>
  <c r="AJ27" i="9"/>
  <c r="AO34" i="7"/>
  <c r="AB34" i="7"/>
  <c r="O34" i="7"/>
  <c r="H34" i="8" s="1"/>
  <c r="J28" i="8"/>
  <c r="AO28" i="7"/>
  <c r="AN28" i="7"/>
  <c r="BI25" i="7"/>
  <c r="AZ25" i="7"/>
  <c r="BB25" i="7" s="1"/>
  <c r="AR25" i="7"/>
  <c r="AS25" i="7" s="1"/>
  <c r="L28" i="13"/>
  <c r="BK25" i="7"/>
  <c r="BL25" i="7" s="1"/>
  <c r="AB25" i="7"/>
  <c r="O25" i="7"/>
  <c r="H25" i="8" s="1"/>
  <c r="P25" i="7"/>
  <c r="AR24" i="7"/>
  <c r="AS24" i="7" s="1"/>
  <c r="O24" i="7"/>
  <c r="N49" i="7" a="1"/>
  <c r="N49" i="7" s="1"/>
  <c r="N44" i="7" a="1"/>
  <c r="N44" i="7" s="1"/>
  <c r="BL23" i="7"/>
  <c r="BI23" i="7"/>
  <c r="AN21" i="7"/>
  <c r="AR20" i="7"/>
  <c r="AS20" i="7" s="1"/>
  <c r="AN20" i="7"/>
  <c r="AA20" i="7"/>
  <c r="J20" i="8" s="1"/>
  <c r="BA18" i="7"/>
  <c r="O18" i="7"/>
  <c r="BL17" i="7"/>
  <c r="BI17" i="7"/>
  <c r="AB17" i="7"/>
  <c r="O17" i="7"/>
  <c r="H17" i="8" s="1"/>
  <c r="P17" i="7"/>
  <c r="AB14" i="7"/>
  <c r="O14" i="7"/>
  <c r="AL36" i="9"/>
  <c r="AB11" i="7"/>
  <c r="AL30" i="9"/>
  <c r="BL19" i="7"/>
  <c r="BK19" i="7"/>
  <c r="Q4" i="13"/>
  <c r="AL46" i="7" a="1"/>
  <c r="AL46" i="7" s="1"/>
  <c r="N48" i="7" a="1"/>
  <c r="N48" i="7" s="1"/>
  <c r="Z48" i="7" a="1"/>
  <c r="Z48" i="7" s="1"/>
  <c r="Z43" i="7" a="1"/>
  <c r="Z43" i="7" s="1"/>
  <c r="N42" i="7" a="1"/>
  <c r="N42" i="7" s="1"/>
  <c r="AY47" i="7" a="1"/>
  <c r="AY47" i="7" s="1"/>
  <c r="AL47" i="7" a="1"/>
  <c r="AL47" i="7" s="1"/>
  <c r="N41" i="7"/>
  <c r="BI24" i="7"/>
  <c r="BH9" i="7"/>
  <c r="BI9" i="7" s="1"/>
  <c r="BB10" i="7"/>
  <c r="BL27" i="7"/>
  <c r="BB21" i="7"/>
  <c r="BI33" i="7"/>
  <c r="P6" i="7"/>
  <c r="O6" i="7"/>
  <c r="N43" i="7" a="1"/>
  <c r="N43" i="7" s="1"/>
  <c r="BI13" i="7"/>
  <c r="BI6" i="7"/>
  <c r="BA7" i="7"/>
  <c r="BI21" i="7"/>
  <c r="BA23" i="7"/>
  <c r="BA21" i="7"/>
  <c r="N45" i="7" a="1"/>
  <c r="N45" i="7" s="1"/>
  <c r="AO9" i="7"/>
  <c r="BL8" i="7"/>
  <c r="AM33" i="9"/>
  <c r="BK33" i="7"/>
  <c r="BL33" i="7" s="1"/>
  <c r="BA33" i="7"/>
  <c r="AM33" i="7"/>
  <c r="L22" i="13"/>
  <c r="AN33" i="7"/>
  <c r="AA33" i="7"/>
  <c r="AO33" i="7" s="1"/>
  <c r="AB33" i="7"/>
  <c r="P33" i="7"/>
  <c r="O33" i="7"/>
  <c r="BE28" i="7"/>
  <c r="BF28" i="7" s="1"/>
  <c r="AL33" i="9"/>
  <c r="R32" i="9"/>
  <c r="AJ33" i="9"/>
  <c r="S28" i="9"/>
  <c r="P28" i="7"/>
  <c r="O28" i="7"/>
  <c r="H28" i="8" s="1"/>
  <c r="J27" i="9"/>
  <c r="AN27" i="7"/>
  <c r="AA27" i="7"/>
  <c r="AO27" i="7" s="1"/>
  <c r="BE23" i="7"/>
  <c r="BF23" i="7" s="1"/>
  <c r="AZ23" i="7"/>
  <c r="AM23" i="7"/>
  <c r="AM42" i="7" s="1" a="1"/>
  <c r="AM42" i="7" s="1"/>
  <c r="AB23" i="7"/>
  <c r="P23" i="7"/>
  <c r="O23" i="7"/>
  <c r="H23" i="8" s="1"/>
  <c r="BK21" i="7"/>
  <c r="BL21" i="7" s="1"/>
  <c r="P33" i="8"/>
  <c r="L24" i="13"/>
  <c r="AB21" i="7"/>
  <c r="O21" i="7"/>
  <c r="H21" i="8" s="1"/>
  <c r="P21" i="7"/>
  <c r="BI16" i="7"/>
  <c r="AL40" i="9"/>
  <c r="R25" i="9"/>
  <c r="AJ28" i="8"/>
  <c r="H13" i="9"/>
  <c r="J13" i="9" s="1"/>
  <c r="BB13" i="7"/>
  <c r="AO13" i="7"/>
  <c r="AN13" i="7"/>
  <c r="AB13" i="7"/>
  <c r="O13" i="7"/>
  <c r="P13" i="7"/>
  <c r="L23" i="13"/>
  <c r="R16" i="13"/>
  <c r="S16" i="13" s="1"/>
  <c r="W16" i="13" s="1"/>
  <c r="X16" i="13" s="1"/>
  <c r="T32" i="8"/>
  <c r="R23" i="8"/>
  <c r="AJ31" i="8"/>
  <c r="T23" i="8"/>
  <c r="BL10" i="7"/>
  <c r="R29" i="13"/>
  <c r="Q35" i="8"/>
  <c r="Q37" i="8"/>
  <c r="T18" i="13"/>
  <c r="AK29" i="8"/>
  <c r="AK26" i="8"/>
  <c r="AB10" i="7"/>
  <c r="P10" i="7"/>
  <c r="AJ28" i="9"/>
  <c r="AM26" i="9"/>
  <c r="BK9" i="7"/>
  <c r="BL9" i="7" s="1"/>
  <c r="Q20" i="13"/>
  <c r="S36" i="9"/>
  <c r="R24" i="9"/>
  <c r="AM32" i="9"/>
  <c r="S6" i="7"/>
  <c r="T11" i="13"/>
  <c r="AK28" i="8"/>
  <c r="AK32" i="8"/>
  <c r="AJ34" i="8"/>
  <c r="T24" i="13"/>
  <c r="S24" i="13"/>
  <c r="L20" i="13"/>
  <c r="AJ30" i="8"/>
  <c r="AK34" i="8"/>
  <c r="W24" i="13"/>
  <c r="X24" i="13" s="1"/>
  <c r="M18" i="13"/>
  <c r="T8" i="13"/>
  <c r="AL39" i="8"/>
  <c r="AM39" i="8" s="1"/>
  <c r="T19" i="13"/>
  <c r="S35" i="8"/>
  <c r="U35" i="8" s="1"/>
  <c r="T37" i="8"/>
  <c r="Q33" i="8"/>
  <c r="M37" i="8"/>
  <c r="T34" i="8"/>
  <c r="T39" i="8"/>
  <c r="R37" i="8"/>
  <c r="S33" i="8"/>
  <c r="U33" i="8" s="1"/>
  <c r="AL26" i="8"/>
  <c r="AM26" i="8" s="1"/>
  <c r="S39" i="8"/>
  <c r="U39" i="8" s="1"/>
  <c r="N37" i="8"/>
  <c r="T26" i="9"/>
  <c r="U26" i="9" s="1"/>
  <c r="R22" i="13"/>
  <c r="S22" i="13" s="1"/>
  <c r="W22" i="13" s="1"/>
  <c r="X22" i="13" s="1"/>
  <c r="S40" i="9"/>
  <c r="AL32" i="9"/>
  <c r="M7" i="13"/>
  <c r="S7" i="13" s="1"/>
  <c r="W7" i="13" s="1"/>
  <c r="X7" i="13" s="1"/>
  <c r="M27" i="9"/>
  <c r="T36" i="9"/>
  <c r="U36" i="9" s="1"/>
  <c r="AJ32" i="9"/>
  <c r="S24" i="9"/>
  <c r="L18" i="13"/>
  <c r="Q12" i="13"/>
  <c r="S26" i="9"/>
  <c r="R15" i="13"/>
  <c r="Q26" i="9"/>
  <c r="T20" i="13"/>
  <c r="L11" i="13"/>
  <c r="AC8" i="4"/>
  <c r="AB9" i="4"/>
  <c r="AD8" i="4"/>
  <c r="AE8" i="4" s="1"/>
  <c r="W9" i="4"/>
  <c r="Q9" i="4"/>
  <c r="AE5" i="7"/>
  <c r="AF5" i="7" s="1"/>
  <c r="J9" i="4"/>
  <c r="K8" i="4"/>
  <c r="H9" i="4"/>
  <c r="I8" i="4"/>
  <c r="B10" i="4"/>
  <c r="C9" i="4"/>
  <c r="E8" i="4"/>
  <c r="D9" i="4"/>
  <c r="AN8" i="7"/>
  <c r="AA8" i="7"/>
  <c r="AO8" i="7" s="1"/>
  <c r="AK39" i="8"/>
  <c r="AL30" i="8"/>
  <c r="AM30" i="8" s="1"/>
  <c r="Z45" i="7" a="1"/>
  <c r="Z45" i="7" s="1"/>
  <c r="AL29" i="8"/>
  <c r="AM29" i="8" s="1"/>
  <c r="AL32" i="8"/>
  <c r="AM32" i="8" s="1"/>
  <c r="Z42" i="7" a="1"/>
  <c r="Z42" i="7" s="1"/>
  <c r="AB8" i="7"/>
  <c r="S30" i="8"/>
  <c r="U30" i="8" s="1"/>
  <c r="AM40" i="9"/>
  <c r="AJ30" i="9"/>
  <c r="Q25" i="9"/>
  <c r="M21" i="13"/>
  <c r="T17" i="13"/>
  <c r="R23" i="13"/>
  <c r="S23" i="13" s="1"/>
  <c r="W23" i="13" s="1"/>
  <c r="X23" i="13" s="1"/>
  <c r="Q14" i="13"/>
  <c r="AJ40" i="9"/>
  <c r="AK30" i="9"/>
  <c r="S25" i="9"/>
  <c r="Q17" i="13"/>
  <c r="T14" i="13"/>
  <c r="L8" i="13"/>
  <c r="T16" i="13"/>
  <c r="T33" i="9"/>
  <c r="U33" i="9" s="1"/>
  <c r="R35" i="9"/>
  <c r="M14" i="13"/>
  <c r="S14" i="13" s="1"/>
  <c r="W14" i="13" s="1"/>
  <c r="X14" i="13" s="1"/>
  <c r="AK28" i="9"/>
  <c r="T23" i="13"/>
  <c r="AJ34" i="9"/>
  <c r="BH7" i="7"/>
  <c r="BI7" i="7" s="1"/>
  <c r="BB7" i="7"/>
  <c r="H7" i="9"/>
  <c r="J7" i="9" s="1"/>
  <c r="BL7" i="7"/>
  <c r="T29" i="13"/>
  <c r="R38" i="8"/>
  <c r="R36" i="8"/>
  <c r="AA7" i="7"/>
  <c r="AO7" i="7" s="1"/>
  <c r="M28" i="8"/>
  <c r="Q31" i="8"/>
  <c r="S32" i="8"/>
  <c r="U32" i="8" s="1"/>
  <c r="R29" i="8"/>
  <c r="AK35" i="8"/>
  <c r="AL36" i="8"/>
  <c r="AM36" i="8" s="1"/>
  <c r="AJ27" i="8"/>
  <c r="AL38" i="8"/>
  <c r="AM38" i="8" s="1"/>
  <c r="R30" i="8"/>
  <c r="R27" i="8"/>
  <c r="S28" i="8"/>
  <c r="U28" i="8" s="1"/>
  <c r="AK36" i="8"/>
  <c r="AJ38" i="8"/>
  <c r="O49" i="7" a="1"/>
  <c r="O49" i="7" s="1"/>
  <c r="T22" i="13"/>
  <c r="R18" i="13"/>
  <c r="L19" i="13"/>
  <c r="AJ31" i="9"/>
  <c r="AE34" i="9"/>
  <c r="M29" i="13"/>
  <c r="L13" i="13"/>
  <c r="R33" i="9"/>
  <c r="AY41" i="7"/>
  <c r="AZ6" i="7"/>
  <c r="AM34" i="9"/>
  <c r="AK39" i="9"/>
  <c r="AK34" i="9"/>
  <c r="BL6" i="7"/>
  <c r="L16" i="13"/>
  <c r="Q38" i="9"/>
  <c r="AL29" i="9"/>
  <c r="AG38" i="9"/>
  <c r="AL28" i="9"/>
  <c r="Q8" i="13"/>
  <c r="M5" i="13"/>
  <c r="R8" i="13"/>
  <c r="S8" i="13" s="1"/>
  <c r="W8" i="13" s="1"/>
  <c r="X8" i="13" s="1"/>
  <c r="AL37" i="8"/>
  <c r="AM37" i="8" s="1"/>
  <c r="AK31" i="9"/>
  <c r="AM39" i="9"/>
  <c r="AL27" i="9"/>
  <c r="T39" i="9"/>
  <c r="U39" i="9" s="1"/>
  <c r="AM31" i="9"/>
  <c r="T12" i="13"/>
  <c r="AG39" i="9"/>
  <c r="T27" i="9"/>
  <c r="U27" i="9" s="1"/>
  <c r="T28" i="9"/>
  <c r="U28" i="9" s="1"/>
  <c r="AM27" i="9"/>
  <c r="R26" i="13"/>
  <c r="T13" i="13"/>
  <c r="AG27" i="9"/>
  <c r="S39" i="9"/>
  <c r="S31" i="9"/>
  <c r="AJ39" i="9"/>
  <c r="R27" i="9"/>
  <c r="AL38" i="9"/>
  <c r="AM36" i="9"/>
  <c r="AJ29" i="9"/>
  <c r="M35" i="9"/>
  <c r="T28" i="13"/>
  <c r="AJ26" i="9"/>
  <c r="S32" i="9"/>
  <c r="AL45" i="7" a="1"/>
  <c r="AL45" i="7" s="1"/>
  <c r="AM5" i="7"/>
  <c r="Q6" i="13"/>
  <c r="AM29" i="9"/>
  <c r="S35" i="9"/>
  <c r="Q28" i="13"/>
  <c r="T26" i="13"/>
  <c r="M15" i="13"/>
  <c r="AK36" i="9"/>
  <c r="T15" i="13"/>
  <c r="AL44" i="7" a="1"/>
  <c r="AL44" i="7" s="1"/>
  <c r="AL49" i="7" a="1"/>
  <c r="AL49" i="7" s="1"/>
  <c r="AL42" i="7" a="1"/>
  <c r="AL42" i="7" s="1"/>
  <c r="S23" i="9"/>
  <c r="AL48" i="7" a="1"/>
  <c r="AL48" i="7" s="1"/>
  <c r="T30" i="8"/>
  <c r="R25" i="8"/>
  <c r="AL40" i="8"/>
  <c r="AM40" i="8" s="1"/>
  <c r="Q24" i="13"/>
  <c r="R19" i="13"/>
  <c r="S19" i="13" s="1"/>
  <c r="W19" i="13" s="1"/>
  <c r="X19" i="13" s="1"/>
  <c r="R28" i="8"/>
  <c r="AJ40" i="8"/>
  <c r="AB5" i="7"/>
  <c r="AA5" i="7"/>
  <c r="AO5" i="7" s="1"/>
  <c r="R21" i="13"/>
  <c r="T5" i="13"/>
  <c r="R9" i="13"/>
  <c r="T38" i="8"/>
  <c r="M34" i="8"/>
  <c r="M27" i="8"/>
  <c r="S40" i="8"/>
  <c r="U40" i="8" s="1"/>
  <c r="T29" i="8"/>
  <c r="N25" i="8"/>
  <c r="S34" i="8"/>
  <c r="U34" i="8" s="1"/>
  <c r="T31" i="8"/>
  <c r="Q27" i="8"/>
  <c r="Q40" i="8"/>
  <c r="S36" i="8"/>
  <c r="U36" i="8" s="1"/>
  <c r="S29" i="8"/>
  <c r="U29" i="8" s="1"/>
  <c r="T25" i="8"/>
  <c r="P25" i="8"/>
  <c r="S31" i="8"/>
  <c r="U31" i="8" s="1"/>
  <c r="S27" i="8"/>
  <c r="U27" i="8" s="1"/>
  <c r="T40" i="8"/>
  <c r="Q25" i="8"/>
  <c r="Q28" i="8"/>
  <c r="AJ33" i="8"/>
  <c r="AL31" i="8"/>
  <c r="AM31" i="8" s="1"/>
  <c r="AR11" i="7"/>
  <c r="AS11" i="7" s="1"/>
  <c r="AK4" i="11"/>
  <c r="AF81" i="11"/>
  <c r="AK5" i="11"/>
  <c r="AE37" i="7"/>
  <c r="T6" i="13"/>
  <c r="S4" i="13"/>
  <c r="W4" i="13" s="1"/>
  <c r="X4" i="13" s="1"/>
  <c r="Y4" i="13" s="1"/>
  <c r="R5" i="13"/>
  <c r="S30" i="9"/>
  <c r="Q5" i="13"/>
  <c r="BB26" i="7"/>
  <c r="BK35" i="7"/>
  <c r="BL35" i="7" s="1"/>
  <c r="BH35" i="7"/>
  <c r="BI35" i="7" s="1"/>
  <c r="BK34" i="7"/>
  <c r="BL34" i="7" s="1"/>
  <c r="M26" i="13"/>
  <c r="L26" i="13"/>
  <c r="L6" i="13"/>
  <c r="M6" i="13"/>
  <c r="S6" i="13" s="1"/>
  <c r="W6" i="13" s="1"/>
  <c r="X6" i="13" s="1"/>
  <c r="BB9" i="7"/>
  <c r="H9" i="9"/>
  <c r="J9" i="9" s="1"/>
  <c r="H5" i="9"/>
  <c r="J5" i="9" s="1"/>
  <c r="BB5" i="7"/>
  <c r="M17" i="13"/>
  <c r="S17" i="13" s="1"/>
  <c r="W17" i="13" s="1"/>
  <c r="X17" i="13" s="1"/>
  <c r="L17" i="13"/>
  <c r="AO24" i="7"/>
  <c r="BB24" i="7"/>
  <c r="BK12" i="7"/>
  <c r="BL12" i="7"/>
  <c r="T21" i="13"/>
  <c r="R30" i="9"/>
  <c r="BK20" i="7"/>
  <c r="BL20" i="7" s="1"/>
  <c r="BK14" i="7"/>
  <c r="BL14" i="7" s="1"/>
  <c r="AO30" i="7"/>
  <c r="BB30" i="7"/>
  <c r="H20" i="9"/>
  <c r="J20" i="9" s="1"/>
  <c r="BB20" i="7"/>
  <c r="BB12" i="7"/>
  <c r="H12" i="9"/>
  <c r="J12" i="9" s="1"/>
  <c r="BB4" i="7"/>
  <c r="AM49" i="7" a="1"/>
  <c r="AM49" i="7" s="1"/>
  <c r="AO4" i="7"/>
  <c r="AM41" i="7"/>
  <c r="H4" i="9"/>
  <c r="J4" i="9" s="1"/>
  <c r="H35" i="9"/>
  <c r="J35" i="9" s="1"/>
  <c r="BB35" i="7"/>
  <c r="AO35" i="7"/>
  <c r="L25" i="13"/>
  <c r="M25" i="13"/>
  <c r="R13" i="13"/>
  <c r="S13" i="13" s="1"/>
  <c r="W13" i="13" s="1"/>
  <c r="X13" i="13" s="1"/>
  <c r="Q13" i="13"/>
  <c r="BK16" i="7"/>
  <c r="BL16" i="7" s="1"/>
  <c r="BK4" i="7"/>
  <c r="BL4" i="7"/>
  <c r="H11" i="9"/>
  <c r="J11" i="9" s="1"/>
  <c r="AO11" i="7"/>
  <c r="BB11" i="7"/>
  <c r="H16" i="9"/>
  <c r="J16" i="9" s="1"/>
  <c r="AO16" i="7"/>
  <c r="BB16" i="7"/>
  <c r="H18" i="9"/>
  <c r="J18" i="9" s="1"/>
  <c r="AO18" i="7"/>
  <c r="BB18" i="7"/>
  <c r="H14" i="9"/>
  <c r="J14" i="9" s="1"/>
  <c r="BB14" i="7"/>
  <c r="AO14" i="7"/>
  <c r="BB19" i="7"/>
  <c r="H19" i="9"/>
  <c r="J19" i="9" s="1"/>
  <c r="BK24" i="7"/>
  <c r="BL24" i="7" s="1"/>
  <c r="AO19" i="7"/>
  <c r="S28" i="13"/>
  <c r="W28" i="13" s="1"/>
  <c r="X28" i="13" s="1"/>
  <c r="L12" i="13"/>
  <c r="M12" i="13"/>
  <c r="S12" i="13" s="1"/>
  <c r="W12" i="13" s="1"/>
  <c r="X12" i="13" s="1"/>
  <c r="AO20" i="7"/>
  <c r="H22" i="9"/>
  <c r="J22" i="9" s="1"/>
  <c r="BB22" i="7"/>
  <c r="BK11" i="7"/>
  <c r="BL11" i="7" s="1"/>
  <c r="BK18" i="7"/>
  <c r="BL18" i="7" s="1"/>
  <c r="AL41" i="7"/>
  <c r="T7" i="13"/>
  <c r="S20" i="13"/>
  <c r="W20" i="13" s="1"/>
  <c r="X20" i="13" s="1"/>
  <c r="T25" i="13"/>
  <c r="R25" i="13"/>
  <c r="Q25" i="13"/>
  <c r="BH37" i="7"/>
  <c r="BI37" i="7"/>
  <c r="Z41" i="7"/>
  <c r="AN5" i="7"/>
  <c r="Q27" i="13"/>
  <c r="R27" i="13"/>
  <c r="AK27" i="8"/>
  <c r="AL35" i="8"/>
  <c r="AM35" i="8" s="1"/>
  <c r="O43" i="7" a="1"/>
  <c r="O43" i="7" s="1"/>
  <c r="S34" i="9"/>
  <c r="Q34" i="9"/>
  <c r="T23" i="9"/>
  <c r="U23" i="9" s="1"/>
  <c r="R24" i="8"/>
  <c r="T33" i="8"/>
  <c r="AK26" i="9"/>
  <c r="R40" i="9"/>
  <c r="AJ37" i="8"/>
  <c r="T24" i="8"/>
  <c r="R35" i="8"/>
  <c r="AK33" i="8"/>
  <c r="T34" i="9"/>
  <c r="U34" i="9" s="1"/>
  <c r="AI35" i="9"/>
  <c r="AJ35" i="9"/>
  <c r="AG35" i="9"/>
  <c r="AL37" i="9"/>
  <c r="AJ37" i="9"/>
  <c r="AK37" i="9"/>
  <c r="AL35" i="9"/>
  <c r="S38" i="9"/>
  <c r="T38" i="9"/>
  <c r="U38" i="9" s="1"/>
  <c r="AM35" i="9"/>
  <c r="T31" i="9"/>
  <c r="U31" i="9" s="1"/>
  <c r="AK38" i="9"/>
  <c r="AJ38" i="9"/>
  <c r="S37" i="9"/>
  <c r="T37" i="9"/>
  <c r="U37" i="9" s="1"/>
  <c r="R37" i="9"/>
  <c r="T29" i="9"/>
  <c r="U29" i="9" s="1"/>
  <c r="R29" i="9"/>
  <c r="S29" i="9"/>
  <c r="AE36" i="8"/>
  <c r="M38" i="8"/>
  <c r="O40" i="9"/>
  <c r="Q39" i="8"/>
  <c r="M31" i="8"/>
  <c r="Q32" i="8"/>
  <c r="G20" i="8"/>
  <c r="AH33" i="9"/>
  <c r="P37" i="8"/>
  <c r="N33" i="8"/>
  <c r="Q7" i="13"/>
  <c r="Q11" i="13"/>
  <c r="R11" i="13"/>
  <c r="S11" i="13" s="1"/>
  <c r="W11" i="13" s="1"/>
  <c r="X11" i="13" s="1"/>
  <c r="I16" i="8"/>
  <c r="H16" i="8"/>
  <c r="J16" i="8"/>
  <c r="G16" i="8"/>
  <c r="J12" i="8"/>
  <c r="G12" i="8"/>
  <c r="E6" i="7"/>
  <c r="D6" i="7"/>
  <c r="F6" i="7"/>
  <c r="G6" i="7"/>
  <c r="I9" i="8"/>
  <c r="J9" i="8"/>
  <c r="G9" i="8"/>
  <c r="H9" i="8"/>
  <c r="I33" i="8"/>
  <c r="J33" i="8"/>
  <c r="H33" i="8"/>
  <c r="G33" i="8"/>
  <c r="I5" i="8"/>
  <c r="H5" i="8"/>
  <c r="G5" i="8"/>
  <c r="G23" i="9"/>
  <c r="I23" i="9"/>
  <c r="N27" i="10"/>
  <c r="T4" i="13"/>
  <c r="L4" i="13"/>
  <c r="I18" i="8"/>
  <c r="J18" i="8"/>
  <c r="G18" i="8"/>
  <c r="H18" i="8"/>
  <c r="F16" i="7"/>
  <c r="D16" i="7"/>
  <c r="G16" i="7"/>
  <c r="E16" i="7"/>
  <c r="J6" i="8"/>
  <c r="I6" i="8"/>
  <c r="G6" i="8"/>
  <c r="G20" i="9"/>
  <c r="I20" i="9"/>
  <c r="J7" i="8"/>
  <c r="H7" i="8"/>
  <c r="I7" i="8"/>
  <c r="G7" i="8"/>
  <c r="M39" i="8"/>
  <c r="M40" i="8"/>
  <c r="Q36" i="8"/>
  <c r="M32" i="8"/>
  <c r="M33" i="8"/>
  <c r="M29" i="8"/>
  <c r="M25" i="8"/>
  <c r="I9" i="9"/>
  <c r="G9" i="9"/>
  <c r="I26" i="9"/>
  <c r="G26" i="9"/>
  <c r="I12" i="9"/>
  <c r="G12" i="9"/>
  <c r="M27" i="13"/>
  <c r="L27" i="13"/>
  <c r="T27" i="13"/>
  <c r="G5" i="9"/>
  <c r="I5" i="9"/>
  <c r="AG23" i="9"/>
  <c r="L9" i="13"/>
  <c r="T9" i="13"/>
  <c r="M9" i="13"/>
  <c r="J26" i="8"/>
  <c r="I26" i="8"/>
  <c r="H26" i="8"/>
  <c r="G26" i="8"/>
  <c r="I16" i="9"/>
  <c r="G16" i="9"/>
  <c r="AB16" i="13"/>
  <c r="AA59" i="13" a="1"/>
  <c r="AA59" i="13" s="1"/>
  <c r="I6" i="9"/>
  <c r="G6" i="9"/>
  <c r="AB33" i="10"/>
  <c r="Q10" i="13"/>
  <c r="R10" i="13"/>
  <c r="AB7" i="13"/>
  <c r="AA50" i="13" a="1"/>
  <c r="AA50" i="13" s="1"/>
  <c r="AE21" i="9"/>
  <c r="AH21" i="9"/>
  <c r="AF21" i="9"/>
  <c r="AI21" i="9"/>
  <c r="AG21" i="9"/>
  <c r="AB32" i="10"/>
  <c r="AB27" i="13"/>
  <c r="AA70" i="13" a="1"/>
  <c r="AA70" i="13" s="1"/>
  <c r="F24" i="7"/>
  <c r="G24" i="7"/>
  <c r="E24" i="7"/>
  <c r="D24" i="7"/>
  <c r="AB21" i="13"/>
  <c r="AA64" i="13" a="1"/>
  <c r="AA64" i="13" s="1"/>
  <c r="AB34" i="13"/>
  <c r="AA77" i="13" a="1"/>
  <c r="AA77" i="13" s="1"/>
  <c r="AB28" i="13"/>
  <c r="AA71" i="13" a="1"/>
  <c r="AA71" i="13" s="1"/>
  <c r="AB12" i="13"/>
  <c r="AA55" i="13" a="1"/>
  <c r="AA55" i="13" s="1"/>
  <c r="N28" i="10"/>
  <c r="G27" i="10"/>
  <c r="C26" i="10"/>
  <c r="O28" i="10"/>
  <c r="J29" i="10"/>
  <c r="J28" i="10"/>
  <c r="G33" i="7"/>
  <c r="D33" i="7"/>
  <c r="F33" i="7"/>
  <c r="E33" i="7"/>
  <c r="E26" i="7"/>
  <c r="D26" i="7"/>
  <c r="G26" i="7"/>
  <c r="H26" i="7" s="1"/>
  <c r="F26" i="7"/>
  <c r="F18" i="7"/>
  <c r="D18" i="7"/>
  <c r="G18" i="7"/>
  <c r="E18" i="7"/>
  <c r="F10" i="7"/>
  <c r="G10" i="7"/>
  <c r="D10" i="7"/>
  <c r="E10" i="7"/>
  <c r="O23" i="10"/>
  <c r="N16" i="10"/>
  <c r="J15" i="10"/>
  <c r="N15" i="10"/>
  <c r="J7" i="10"/>
  <c r="I7" i="10"/>
  <c r="O22" i="10"/>
  <c r="I14" i="10"/>
  <c r="O14" i="10"/>
  <c r="O6" i="10"/>
  <c r="J20" i="10"/>
  <c r="I8" i="10"/>
  <c r="O8" i="10"/>
  <c r="O19" i="10"/>
  <c r="N11" i="10"/>
  <c r="N21" i="10"/>
  <c r="J13" i="10"/>
  <c r="I9" i="10"/>
  <c r="O9" i="10"/>
  <c r="C24" i="10"/>
  <c r="C25" i="10"/>
  <c r="D25" i="10" a="1"/>
  <c r="D25" i="10" s="1"/>
  <c r="O25" i="10"/>
  <c r="G21" i="10"/>
  <c r="D26" i="10" a="1"/>
  <c r="D26" i="10" s="1"/>
  <c r="O27" i="10"/>
  <c r="J24" i="10"/>
  <c r="I24" i="10"/>
  <c r="O12" i="10"/>
  <c r="O16" i="10"/>
  <c r="P16" i="10" s="1"/>
  <c r="I15" i="10"/>
  <c r="O15" i="10"/>
  <c r="P15" i="10" s="1"/>
  <c r="N7" i="10"/>
  <c r="N22" i="10"/>
  <c r="J18" i="10"/>
  <c r="I18" i="10"/>
  <c r="N14" i="10"/>
  <c r="J10" i="10"/>
  <c r="I10" i="10"/>
  <c r="I20" i="10"/>
  <c r="O20" i="10"/>
  <c r="N8" i="10"/>
  <c r="N19" i="10"/>
  <c r="J21" i="10"/>
  <c r="I21" i="10"/>
  <c r="J17" i="10"/>
  <c r="I13" i="10"/>
  <c r="O13" i="10"/>
  <c r="N9" i="10"/>
  <c r="J5" i="10"/>
  <c r="N5" i="10"/>
  <c r="H25" i="10" a="1"/>
  <c r="H25" i="10" s="1"/>
  <c r="H24" i="10" a="1"/>
  <c r="H24" i="10" s="1"/>
  <c r="H23" i="10" a="1"/>
  <c r="H23" i="10" s="1"/>
  <c r="N24" i="10"/>
  <c r="N12" i="10"/>
  <c r="J23" i="10"/>
  <c r="I23" i="10"/>
  <c r="O7" i="10"/>
  <c r="J22" i="10"/>
  <c r="I22" i="10"/>
  <c r="N18" i="10"/>
  <c r="N10" i="10"/>
  <c r="J6" i="10"/>
  <c r="I6" i="10"/>
  <c r="N20" i="10"/>
  <c r="J19" i="10"/>
  <c r="I19" i="10"/>
  <c r="J11" i="10"/>
  <c r="I17" i="10"/>
  <c r="O17" i="10"/>
  <c r="N13" i="10"/>
  <c r="I5" i="10"/>
  <c r="O5" i="10"/>
  <c r="G24" i="10"/>
  <c r="I25" i="10"/>
  <c r="J25" i="10"/>
  <c r="D21" i="10" a="1"/>
  <c r="D21" i="10" s="1"/>
  <c r="O18" i="10"/>
  <c r="J14" i="10"/>
  <c r="O10" i="10"/>
  <c r="C21" i="10"/>
  <c r="H21" i="10" a="1"/>
  <c r="H21" i="10" s="1"/>
  <c r="I4" i="10"/>
  <c r="O4" i="10"/>
  <c r="G22" i="10"/>
  <c r="C22" i="10"/>
  <c r="D20" i="10" a="1"/>
  <c r="D20" i="10" s="1"/>
  <c r="H19" i="10" a="1"/>
  <c r="H19" i="10" s="1"/>
  <c r="D19" i="10" a="1"/>
  <c r="D19" i="10" s="1"/>
  <c r="H18" i="10" a="1"/>
  <c r="H18" i="10" s="1"/>
  <c r="G17" i="10"/>
  <c r="D15" i="10" a="1"/>
  <c r="D15" i="10" s="1"/>
  <c r="C14" i="10"/>
  <c r="G13" i="10"/>
  <c r="H12" i="10" a="1"/>
  <c r="H12" i="10" s="1"/>
  <c r="G11" i="10"/>
  <c r="H9" i="10" a="1"/>
  <c r="H9" i="10" s="1"/>
  <c r="D9" i="10" a="1"/>
  <c r="D9" i="10" s="1"/>
  <c r="H8" i="10" a="1"/>
  <c r="H8" i="10" s="1"/>
  <c r="I11" i="10"/>
  <c r="N17" i="10"/>
  <c r="J9" i="10"/>
  <c r="N4" i="10"/>
  <c r="G23" i="10"/>
  <c r="C23" i="10"/>
  <c r="H20" i="10" a="1"/>
  <c r="H20" i="10" s="1"/>
  <c r="C18" i="10"/>
  <c r="D17" i="10" a="1"/>
  <c r="D17" i="10" s="1"/>
  <c r="H16" i="10" a="1"/>
  <c r="H16" i="10" s="1"/>
  <c r="D16" i="10" a="1"/>
  <c r="D16" i="10" s="1"/>
  <c r="H15" i="10" a="1"/>
  <c r="H15" i="10" s="1"/>
  <c r="G14" i="10"/>
  <c r="D13" i="10" a="1"/>
  <c r="D13" i="10" s="1"/>
  <c r="C12" i="10"/>
  <c r="D11" i="10" a="1"/>
  <c r="D11" i="10" s="1"/>
  <c r="H10" i="10" a="1"/>
  <c r="H10" i="10" s="1"/>
  <c r="D10" i="10" a="1"/>
  <c r="D10" i="10" s="1"/>
  <c r="C8" i="10"/>
  <c r="N23" i="10"/>
  <c r="O11" i="10"/>
  <c r="O21" i="10"/>
  <c r="H22" i="10" a="1"/>
  <c r="H22" i="10" s="1"/>
  <c r="D22" i="10" a="1"/>
  <c r="D22" i="10" s="1"/>
  <c r="C20" i="10"/>
  <c r="G19" i="10"/>
  <c r="C19" i="10"/>
  <c r="G18" i="10"/>
  <c r="H17" i="10" a="1"/>
  <c r="H17" i="10" s="1"/>
  <c r="C15" i="10"/>
  <c r="D14" i="10" a="1"/>
  <c r="D14" i="10" s="1"/>
  <c r="H13" i="10" a="1"/>
  <c r="H13" i="10" s="1"/>
  <c r="G12" i="10"/>
  <c r="H11" i="10" a="1"/>
  <c r="H11" i="10" s="1"/>
  <c r="G9" i="10"/>
  <c r="C9" i="10"/>
  <c r="G8" i="10"/>
  <c r="J8" i="10"/>
  <c r="J4" i="10"/>
  <c r="D23" i="10" a="1"/>
  <c r="D23" i="10" s="1"/>
  <c r="G20" i="10"/>
  <c r="D18" i="10" a="1"/>
  <c r="D18" i="10" s="1"/>
  <c r="G16" i="10"/>
  <c r="G15" i="10"/>
  <c r="C11" i="10"/>
  <c r="C10" i="10"/>
  <c r="F5" i="7"/>
  <c r="H7" i="10" a="1"/>
  <c r="H7" i="10" s="1"/>
  <c r="E5" i="7"/>
  <c r="C5" i="10"/>
  <c r="N25" i="10"/>
  <c r="H14" i="10" a="1"/>
  <c r="H14" i="10" s="1"/>
  <c r="C13" i="10"/>
  <c r="J12" i="10"/>
  <c r="I12" i="10"/>
  <c r="G25" i="10"/>
  <c r="C17" i="10"/>
  <c r="C16" i="10"/>
  <c r="D12" i="10" a="1"/>
  <c r="D12" i="10" s="1"/>
  <c r="G10" i="10"/>
  <c r="C4" i="10"/>
  <c r="G5" i="10"/>
  <c r="H5" i="10" a="1"/>
  <c r="H5" i="10" s="1"/>
  <c r="D7" i="10" a="1"/>
  <c r="D7" i="10" s="1"/>
  <c r="J16" i="10"/>
  <c r="I16" i="10"/>
  <c r="D5" i="10" a="1"/>
  <c r="D5" i="10" s="1"/>
  <c r="G6" i="10"/>
  <c r="D24" i="10" a="1"/>
  <c r="D24" i="10" s="1"/>
  <c r="D5" i="7"/>
  <c r="C6" i="10"/>
  <c r="G7" i="10"/>
  <c r="G4" i="10"/>
  <c r="O24" i="10"/>
  <c r="D4" i="10" a="1"/>
  <c r="D4" i="10" s="1"/>
  <c r="G5" i="7"/>
  <c r="H4" i="10" a="1"/>
  <c r="H4" i="10" s="1"/>
  <c r="D8" i="10" a="1"/>
  <c r="D8" i="10" s="1"/>
  <c r="H6" i="10" a="1"/>
  <c r="H6" i="10" s="1"/>
  <c r="C7" i="10"/>
  <c r="D6" i="10" a="1"/>
  <c r="D6" i="10" s="1"/>
  <c r="C27" i="10"/>
  <c r="D27" i="10" a="1"/>
  <c r="D27" i="10" s="1"/>
  <c r="N6" i="10"/>
  <c r="Q27" i="9"/>
  <c r="M39" i="9"/>
  <c r="O30" i="9"/>
  <c r="AD20" i="9" a="1"/>
  <c r="AD20" i="9" s="1"/>
  <c r="AI28" i="9"/>
  <c r="AG26" i="9"/>
  <c r="O31" i="9"/>
  <c r="AE31" i="9"/>
  <c r="AI34" i="9"/>
  <c r="Q40" i="9"/>
  <c r="AE37" i="9"/>
  <c r="AI29" i="9"/>
  <c r="AE30" i="9"/>
  <c r="P36" i="9"/>
  <c r="M36" i="9"/>
  <c r="O35" i="9"/>
  <c r="AE33" i="9"/>
  <c r="M25" i="9"/>
  <c r="AF23" i="9"/>
  <c r="I32" i="8"/>
  <c r="J32" i="8"/>
  <c r="H32" i="8"/>
  <c r="G32" i="8"/>
  <c r="AB32" i="13"/>
  <c r="AA75" i="13" a="1"/>
  <c r="AA75" i="13" s="1"/>
  <c r="I24" i="9"/>
  <c r="G24" i="9"/>
  <c r="AB24" i="13"/>
  <c r="AA67" i="13" a="1"/>
  <c r="AA67" i="13" s="1"/>
  <c r="I14" i="8"/>
  <c r="H14" i="8"/>
  <c r="J14" i="8"/>
  <c r="G14" i="8"/>
  <c r="E21" i="7"/>
  <c r="F21" i="7"/>
  <c r="D21" i="7"/>
  <c r="G21" i="7"/>
  <c r="E34" i="7"/>
  <c r="D34" i="7"/>
  <c r="G34" i="7"/>
  <c r="F34" i="7"/>
  <c r="F28" i="7"/>
  <c r="D28" i="7"/>
  <c r="G28" i="7"/>
  <c r="E28" i="7"/>
  <c r="E12" i="7"/>
  <c r="F12" i="7"/>
  <c r="D12" i="7"/>
  <c r="G12" i="7"/>
  <c r="N29" i="10"/>
  <c r="H27" i="10" a="1"/>
  <c r="H27" i="10" s="1"/>
  <c r="G26" i="10"/>
  <c r="C29" i="10"/>
  <c r="O26" i="10"/>
  <c r="G29" i="10"/>
  <c r="G28" i="10"/>
  <c r="AB29" i="13"/>
  <c r="AA72" i="13" a="1"/>
  <c r="AA72" i="13" s="1"/>
  <c r="E20" i="7"/>
  <c r="G20" i="7"/>
  <c r="F20" i="7"/>
  <c r="D20" i="7"/>
  <c r="E13" i="7"/>
  <c r="G13" i="7"/>
  <c r="D13" i="7"/>
  <c r="F13" i="7"/>
  <c r="AB5" i="13"/>
  <c r="AA48" i="13" a="1"/>
  <c r="AA48" i="13" s="1"/>
  <c r="I8" i="9"/>
  <c r="O26" i="9"/>
  <c r="Q32" i="9"/>
  <c r="O39" i="9"/>
  <c r="AG34" i="9"/>
  <c r="AE25" i="9"/>
  <c r="AG24" i="9"/>
  <c r="AI30" i="9"/>
  <c r="O27" i="9"/>
  <c r="Q39" i="9"/>
  <c r="AE35" i="9"/>
  <c r="L16" i="9" a="1"/>
  <c r="L16" i="9" s="1"/>
  <c r="L12" i="9" a="1"/>
  <c r="L12" i="9" s="1"/>
  <c r="L8" i="9" a="1"/>
  <c r="L8" i="9" s="1"/>
  <c r="AD5" i="9" a="1"/>
  <c r="AD5" i="9" s="1"/>
  <c r="AD16" i="9" a="1"/>
  <c r="AD16" i="9" s="1"/>
  <c r="AD12" i="9" a="1"/>
  <c r="AD12" i="9" s="1"/>
  <c r="AD4" i="9" a="1"/>
  <c r="AD4" i="9" s="1"/>
  <c r="Q30" i="9"/>
  <c r="AG36" i="9"/>
  <c r="O29" i="9"/>
  <c r="M26" i="9"/>
  <c r="AI32" i="9"/>
  <c r="AE26" i="9"/>
  <c r="Q28" i="9"/>
  <c r="L15" i="9" a="1"/>
  <c r="L15" i="9" s="1"/>
  <c r="L11" i="9" a="1"/>
  <c r="L11" i="9" s="1"/>
  <c r="L7" i="9" a="1"/>
  <c r="L7" i="9" s="1"/>
  <c r="AD8" i="9" a="1"/>
  <c r="AD8" i="9" s="1"/>
  <c r="AD15" i="9" a="1"/>
  <c r="AD15" i="9" s="1"/>
  <c r="AD11" i="9" a="1"/>
  <c r="AD11" i="9" s="1"/>
  <c r="L5" i="9" a="1"/>
  <c r="L5" i="9" s="1"/>
  <c r="AG31" i="9"/>
  <c r="M31" i="9"/>
  <c r="AI40" i="9"/>
  <c r="AE28" i="9"/>
  <c r="M32" i="9"/>
  <c r="AG40" i="9"/>
  <c r="L14" i="9" a="1"/>
  <c r="L14" i="9" s="1"/>
  <c r="L10" i="9" a="1"/>
  <c r="L10" i="9" s="1"/>
  <c r="L6" i="9" a="1"/>
  <c r="L6" i="9" s="1"/>
  <c r="AD6" i="9" a="1"/>
  <c r="AD6" i="9" s="1"/>
  <c r="AD14" i="9" a="1"/>
  <c r="AD14" i="9" s="1"/>
  <c r="AD10" i="9" a="1"/>
  <c r="AD10" i="9" s="1"/>
  <c r="L4" i="9" a="1"/>
  <c r="L4" i="9" s="1"/>
  <c r="G8" i="9"/>
  <c r="P31" i="9"/>
  <c r="P38" i="9"/>
  <c r="AH24" i="9"/>
  <c r="AH36" i="9"/>
  <c r="P37" i="9"/>
  <c r="AH31" i="9"/>
  <c r="M38" i="9"/>
  <c r="Q37" i="9"/>
  <c r="AG37" i="9"/>
  <c r="L17" i="9" a="1"/>
  <c r="L17" i="9" s="1"/>
  <c r="AD17" i="9" a="1"/>
  <c r="AD17" i="9" s="1"/>
  <c r="AE40" i="9"/>
  <c r="M33" i="9"/>
  <c r="AE39" i="9"/>
  <c r="L13" i="9" a="1"/>
  <c r="L13" i="9" s="1"/>
  <c r="AD13" i="9" a="1"/>
  <c r="AD13" i="9" s="1"/>
  <c r="AH40" i="9"/>
  <c r="P33" i="9"/>
  <c r="AH39" i="9"/>
  <c r="AF31" i="9"/>
  <c r="N40" i="9"/>
  <c r="AF25" i="9"/>
  <c r="AF38" i="9"/>
  <c r="AF30" i="9"/>
  <c r="AF39" i="9"/>
  <c r="N34" i="9"/>
  <c r="N28" i="9"/>
  <c r="AF36" i="9"/>
  <c r="O24" i="9"/>
  <c r="P22" i="9"/>
  <c r="N22" i="9"/>
  <c r="P23" i="9"/>
  <c r="M23" i="9"/>
  <c r="AG25" i="9"/>
  <c r="Q29" i="9"/>
  <c r="M29" i="9"/>
  <c r="L9" i="9" a="1"/>
  <c r="L9" i="9" s="1"/>
  <c r="AD7" i="9" a="1"/>
  <c r="AD7" i="9" s="1"/>
  <c r="P32" i="9"/>
  <c r="AH35" i="9"/>
  <c r="AH26" i="9"/>
  <c r="AH38" i="9"/>
  <c r="AH28" i="9"/>
  <c r="AH37" i="9"/>
  <c r="N30" i="9"/>
  <c r="AF40" i="9"/>
  <c r="N32" i="9"/>
  <c r="AF28" i="9"/>
  <c r="N38" i="9"/>
  <c r="AF29" i="9"/>
  <c r="AI37" i="9"/>
  <c r="P30" i="9"/>
  <c r="AH34" i="9"/>
  <c r="P39" i="9"/>
  <c r="N39" i="9"/>
  <c r="N26" i="9"/>
  <c r="AF32" i="9"/>
  <c r="N24" i="9"/>
  <c r="O22" i="9"/>
  <c r="N23" i="9"/>
  <c r="AD9" i="9" a="1"/>
  <c r="AD9" i="9" s="1"/>
  <c r="AH27" i="9"/>
  <c r="P28" i="9"/>
  <c r="P27" i="9"/>
  <c r="AH25" i="9"/>
  <c r="N29" i="9"/>
  <c r="N36" i="9"/>
  <c r="N33" i="9"/>
  <c r="AF35" i="9"/>
  <c r="M24" i="9"/>
  <c r="M22" i="9"/>
  <c r="AE38" i="9"/>
  <c r="AI36" i="9"/>
  <c r="P26" i="9"/>
  <c r="AH29" i="9"/>
  <c r="AH32" i="9"/>
  <c r="P29" i="9"/>
  <c r="N27" i="9"/>
  <c r="N37" i="9"/>
  <c r="AF37" i="9"/>
  <c r="AF34" i="9"/>
  <c r="AF26" i="9"/>
  <c r="P24" i="9"/>
  <c r="Q22" i="9"/>
  <c r="O19" i="9"/>
  <c r="Q23" i="9"/>
  <c r="AG28" i="9"/>
  <c r="O28" i="9"/>
  <c r="P34" i="9"/>
  <c r="N31" i="9"/>
  <c r="AH30" i="9"/>
  <c r="N35" i="9"/>
  <c r="O23" i="9"/>
  <c r="P35" i="9"/>
  <c r="AF27" i="9"/>
  <c r="Q24" i="9"/>
  <c r="P40" i="9"/>
  <c r="AF24" i="9"/>
  <c r="N25" i="9"/>
  <c r="H19" i="7"/>
  <c r="H12" i="7"/>
  <c r="E25" i="7"/>
  <c r="D25" i="7"/>
  <c r="F25" i="7"/>
  <c r="G25" i="7"/>
  <c r="G30" i="7"/>
  <c r="D30" i="7"/>
  <c r="F30" i="7"/>
  <c r="E30" i="7"/>
  <c r="E22" i="7"/>
  <c r="D22" i="7"/>
  <c r="F22" i="7"/>
  <c r="G22" i="7"/>
  <c r="D17" i="7"/>
  <c r="E17" i="7"/>
  <c r="F17" i="7"/>
  <c r="G17" i="7"/>
  <c r="E9" i="7"/>
  <c r="F9" i="7"/>
  <c r="D9" i="7"/>
  <c r="G9" i="7"/>
  <c r="J27" i="10"/>
  <c r="N26" i="10"/>
  <c r="O29" i="10"/>
  <c r="D28" i="10" a="1"/>
  <c r="D28" i="10" s="1"/>
  <c r="I29" i="10"/>
  <c r="I28" i="10"/>
  <c r="J26" i="10"/>
  <c r="AB33" i="13"/>
  <c r="AA76" i="13" a="1"/>
  <c r="AA76" i="13" s="1"/>
  <c r="AB26" i="13"/>
  <c r="AA69" i="13" a="1"/>
  <c r="AA69" i="13" s="1"/>
  <c r="AA61" i="13" a="1"/>
  <c r="AA61" i="13" s="1"/>
  <c r="AB18" i="13"/>
  <c r="AB10" i="13"/>
  <c r="AA53" i="13" a="1"/>
  <c r="AA53" i="13" s="1"/>
  <c r="Q33" i="9"/>
  <c r="O38" i="9"/>
  <c r="O32" i="9"/>
  <c r="AI31" i="9"/>
  <c r="M34" i="9"/>
  <c r="O34" i="9"/>
  <c r="Q31" i="9"/>
  <c r="AE32" i="9"/>
  <c r="AG32" i="9"/>
  <c r="AE24" i="9"/>
  <c r="AE29" i="9"/>
  <c r="AG29" i="9"/>
  <c r="AI25" i="9"/>
  <c r="Q36" i="9"/>
  <c r="AF33" i="9"/>
  <c r="AI33" i="9"/>
  <c r="AI27" i="9"/>
  <c r="P25" i="9"/>
  <c r="AH23" i="9"/>
  <c r="I32" i="9"/>
  <c r="P19" i="9" s="1"/>
  <c r="G32" i="9"/>
  <c r="F32" i="7"/>
  <c r="D32" i="7"/>
  <c r="E32" i="7"/>
  <c r="G32" i="7"/>
  <c r="I27" i="9"/>
  <c r="G27" i="9"/>
  <c r="I24" i="8"/>
  <c r="G24" i="8"/>
  <c r="J24" i="8"/>
  <c r="H24" i="8"/>
  <c r="G14" i="7"/>
  <c r="D14" i="7"/>
  <c r="F14" i="7"/>
  <c r="E14" i="7"/>
  <c r="AB8" i="13"/>
  <c r="AA51" i="13" a="1"/>
  <c r="AA51" i="13" s="1"/>
  <c r="AB25" i="13"/>
  <c r="AA68" i="13" a="1"/>
  <c r="AA68" i="13" s="1"/>
  <c r="AB30" i="13"/>
  <c r="AA73" i="13" a="1"/>
  <c r="AA73" i="13" s="1"/>
  <c r="AB22" i="13"/>
  <c r="AA65" i="13" a="1"/>
  <c r="AA65" i="13" s="1"/>
  <c r="AB17" i="13"/>
  <c r="AA60" i="13" a="1"/>
  <c r="AA60" i="13" s="1"/>
  <c r="AB9" i="13"/>
  <c r="AA52" i="13" a="1"/>
  <c r="AA52" i="13" s="1"/>
  <c r="I27" i="10"/>
  <c r="H26" i="10" a="1"/>
  <c r="H26" i="10" s="1"/>
  <c r="D29" i="10" a="1"/>
  <c r="D29" i="10" s="1"/>
  <c r="C28" i="10"/>
  <c r="H29" i="10" a="1"/>
  <c r="H29" i="10" s="1"/>
  <c r="H28" i="10" a="1"/>
  <c r="H28" i="10" s="1"/>
  <c r="E29" i="7"/>
  <c r="G29" i="7"/>
  <c r="D29" i="7"/>
  <c r="F29" i="7"/>
  <c r="AB20" i="13"/>
  <c r="AA63" i="13" a="1"/>
  <c r="AA63" i="13" s="1"/>
  <c r="AB13" i="13"/>
  <c r="AA56" i="13" a="1"/>
  <c r="AA56" i="13" s="1"/>
  <c r="T10" i="13"/>
  <c r="L10" i="13"/>
  <c r="M10" i="13"/>
  <c r="I26" i="10"/>
  <c r="AI39" i="9"/>
  <c r="AI26" i="9"/>
  <c r="M30" i="9"/>
  <c r="M40" i="9"/>
  <c r="M37" i="9"/>
  <c r="AD18" i="9" a="1"/>
  <c r="AD18" i="9" s="1"/>
  <c r="AD22" i="9" a="1"/>
  <c r="AD22" i="9" s="1"/>
  <c r="AI38" i="9"/>
  <c r="AE36" i="9"/>
  <c r="O33" i="9"/>
  <c r="AD19" i="9" a="1"/>
  <c r="AD19" i="9" s="1"/>
  <c r="AG30" i="9"/>
  <c r="M28" i="9"/>
  <c r="O36" i="9"/>
  <c r="Q35" i="9"/>
  <c r="AG33" i="9"/>
  <c r="AE27" i="9"/>
  <c r="O25" i="9"/>
  <c r="AE23" i="9"/>
  <c r="I27" i="8"/>
  <c r="J27" i="8"/>
  <c r="G27" i="8"/>
  <c r="H27" i="8"/>
  <c r="F27" i="7"/>
  <c r="D27" i="7"/>
  <c r="G27" i="7"/>
  <c r="E27" i="7"/>
  <c r="I14" i="9"/>
  <c r="G14" i="9"/>
  <c r="AB14" i="13"/>
  <c r="AA57" i="13" a="1"/>
  <c r="AA57" i="13" s="1"/>
  <c r="I8" i="8"/>
  <c r="AE34" i="8"/>
  <c r="AD20" i="8" a="1"/>
  <c r="AD20" i="8" s="1"/>
  <c r="AE37" i="8"/>
  <c r="AE38" i="8"/>
  <c r="AE33" i="8"/>
  <c r="AE25" i="8"/>
  <c r="AI36" i="8"/>
  <c r="AI28" i="8"/>
  <c r="AI37" i="8"/>
  <c r="AI29" i="8"/>
  <c r="AD21" i="8" a="1"/>
  <c r="AD21" i="8" s="1"/>
  <c r="AD18" i="8" a="1"/>
  <c r="AD18" i="8" s="1"/>
  <c r="AE29" i="8"/>
  <c r="AE31" i="8"/>
  <c r="AE27" i="8"/>
  <c r="AI40" i="8"/>
  <c r="AI32" i="8"/>
  <c r="AI24" i="8"/>
  <c r="AI33" i="8"/>
  <c r="AI25" i="8"/>
  <c r="G8" i="8"/>
  <c r="AD19" i="8" a="1"/>
  <c r="AD19" i="8" s="1"/>
  <c r="AE30" i="8"/>
  <c r="M36" i="8"/>
  <c r="Q38" i="8"/>
  <c r="AI38" i="8"/>
  <c r="AI39" i="8"/>
  <c r="AI23" i="8"/>
  <c r="AD12" i="8" a="1"/>
  <c r="AD12" i="8" s="1"/>
  <c r="AD15" i="8" a="1"/>
  <c r="AD15" i="8" s="1"/>
  <c r="L12" i="8" a="1"/>
  <c r="L12" i="8" s="1"/>
  <c r="AD6" i="8" a="1"/>
  <c r="AD6" i="8" s="1"/>
  <c r="L6" i="8" a="1"/>
  <c r="L6" i="8" s="1"/>
  <c r="AD5" i="8" a="1"/>
  <c r="AD5" i="8" s="1"/>
  <c r="L17" i="8" a="1"/>
  <c r="L17" i="8" s="1"/>
  <c r="AD7" i="8" a="1"/>
  <c r="AD7" i="8" s="1"/>
  <c r="AE39" i="8"/>
  <c r="AE23" i="8"/>
  <c r="Q34" i="8"/>
  <c r="AI34" i="8"/>
  <c r="AI35" i="8"/>
  <c r="L7" i="8" a="1"/>
  <c r="L7" i="8" s="1"/>
  <c r="AD9" i="8" a="1"/>
  <c r="AD9" i="8" s="1"/>
  <c r="L16" i="8" a="1"/>
  <c r="L16" i="8" s="1"/>
  <c r="L10" i="8" a="1"/>
  <c r="L10" i="8" s="1"/>
  <c r="AD4" i="8" a="1"/>
  <c r="AD4" i="8" s="1"/>
  <c r="L4" i="8" a="1"/>
  <c r="L4" i="8" s="1"/>
  <c r="L9" i="8" a="1"/>
  <c r="L9" i="8" s="1"/>
  <c r="AD22" i="8" a="1"/>
  <c r="AD22" i="8" s="1"/>
  <c r="M26" i="8"/>
  <c r="AE32" i="8"/>
  <c r="AE28" i="8"/>
  <c r="AE35" i="8"/>
  <c r="AE24" i="8"/>
  <c r="Q30" i="8"/>
  <c r="AI30" i="8"/>
  <c r="AI31" i="8"/>
  <c r="AD16" i="8" a="1"/>
  <c r="AD16" i="8" s="1"/>
  <c r="AD10" i="8" a="1"/>
  <c r="AD10" i="8" s="1"/>
  <c r="L5" i="8" a="1"/>
  <c r="L5" i="8" s="1"/>
  <c r="L14" i="8" a="1"/>
  <c r="L14" i="8" s="1"/>
  <c r="AD17" i="8" a="1"/>
  <c r="AD17" i="8" s="1"/>
  <c r="AD13" i="8" a="1"/>
  <c r="AD13" i="8" s="1"/>
  <c r="AF31" i="8"/>
  <c r="AF40" i="8"/>
  <c r="N40" i="8"/>
  <c r="AF27" i="8"/>
  <c r="AF36" i="8"/>
  <c r="N36" i="8"/>
  <c r="AH25" i="8"/>
  <c r="AH26" i="8"/>
  <c r="AH35" i="8"/>
  <c r="M35" i="8"/>
  <c r="AE26" i="8"/>
  <c r="AE40" i="8"/>
  <c r="AI27" i="8"/>
  <c r="L11" i="8" a="1"/>
  <c r="L11" i="8" s="1"/>
  <c r="Q26" i="8"/>
  <c r="AD14" i="8" a="1"/>
  <c r="AD14" i="8" s="1"/>
  <c r="AF25" i="8"/>
  <c r="AF39" i="8"/>
  <c r="N39" i="8"/>
  <c r="AF37" i="8"/>
  <c r="N30" i="8"/>
  <c r="N28" i="8"/>
  <c r="AH37" i="8"/>
  <c r="AH39" i="8"/>
  <c r="P39" i="8"/>
  <c r="AH29" i="8"/>
  <c r="AH27" i="8"/>
  <c r="AH36" i="8"/>
  <c r="P28" i="8"/>
  <c r="P23" i="8"/>
  <c r="N24" i="8"/>
  <c r="M18" i="8"/>
  <c r="AD8" i="8" a="1"/>
  <c r="AD8" i="8" s="1"/>
  <c r="L8" i="8" a="1"/>
  <c r="L8" i="8" s="1"/>
  <c r="L13" i="8" a="1"/>
  <c r="L13" i="8" s="1"/>
  <c r="AF33" i="8"/>
  <c r="N26" i="8"/>
  <c r="AF24" i="8"/>
  <c r="N32" i="8"/>
  <c r="AF30" i="8"/>
  <c r="N38" i="8"/>
  <c r="AF28" i="8"/>
  <c r="P26" i="8"/>
  <c r="AH24" i="8"/>
  <c r="P32" i="8"/>
  <c r="P30" i="8"/>
  <c r="AH31" i="8"/>
  <c r="AH40" i="8"/>
  <c r="P36" i="8"/>
  <c r="H8" i="8"/>
  <c r="AF34" i="8"/>
  <c r="N31" i="8"/>
  <c r="N29" i="8"/>
  <c r="N35" i="8"/>
  <c r="AH33" i="8"/>
  <c r="AH23" i="8"/>
  <c r="P35" i="8"/>
  <c r="P22" i="8"/>
  <c r="P24" i="8"/>
  <c r="N18" i="8"/>
  <c r="AI26" i="8"/>
  <c r="N34" i="8"/>
  <c r="AH34" i="8"/>
  <c r="AH32" i="8"/>
  <c r="AH30" i="8"/>
  <c r="Q23" i="8"/>
  <c r="Q22" i="8"/>
  <c r="Q24" i="8"/>
  <c r="AD11" i="8" a="1"/>
  <c r="AD11" i="8" s="1"/>
  <c r="AF23" i="8"/>
  <c r="AF29" i="8"/>
  <c r="AF35" i="8"/>
  <c r="AH38" i="8"/>
  <c r="P31" i="8"/>
  <c r="P29" i="8"/>
  <c r="AH28" i="8"/>
  <c r="N23" i="8"/>
  <c r="N22" i="8"/>
  <c r="P18" i="8"/>
  <c r="L15" i="8" a="1"/>
  <c r="L15" i="8" s="1"/>
  <c r="N27" i="8"/>
  <c r="P27" i="8"/>
  <c r="AF32" i="8"/>
  <c r="P40" i="8"/>
  <c r="M22" i="8"/>
  <c r="M24" i="8"/>
  <c r="AF38" i="8"/>
  <c r="P38" i="8"/>
  <c r="P34" i="8"/>
  <c r="M23" i="8"/>
  <c r="Q18" i="8"/>
  <c r="AF26" i="8"/>
  <c r="G8" i="7"/>
  <c r="E8" i="7"/>
  <c r="D8" i="7"/>
  <c r="F8" i="7"/>
  <c r="H15" i="7"/>
  <c r="BF4" i="7"/>
  <c r="T4" i="7"/>
  <c r="AD81" i="12"/>
  <c r="H31" i="7"/>
  <c r="AF4" i="7"/>
  <c r="AS4" i="7"/>
  <c r="AC8" i="7"/>
  <c r="Q5" i="7"/>
  <c r="AD8" i="7"/>
  <c r="Q8" i="7"/>
  <c r="AB27" i="10" l="1"/>
  <c r="AB14" i="10"/>
  <c r="AB24" i="10"/>
  <c r="AB8" i="10"/>
  <c r="AB9" i="10"/>
  <c r="AB26" i="10"/>
  <c r="AB21" i="10"/>
  <c r="AB19" i="10"/>
  <c r="AB29" i="10"/>
  <c r="AB25" i="10"/>
  <c r="AB15" i="10"/>
  <c r="AB13" i="10"/>
  <c r="AB16" i="10"/>
  <c r="AB6" i="10"/>
  <c r="AB20" i="10"/>
  <c r="AB5" i="10"/>
  <c r="AB12" i="10"/>
  <c r="AB4" i="10"/>
  <c r="AB18" i="10"/>
  <c r="AB7" i="10"/>
  <c r="AB17" i="10"/>
  <c r="AB11" i="10"/>
  <c r="AB10" i="10"/>
  <c r="AB28" i="10"/>
  <c r="AB22" i="10"/>
  <c r="AB23" i="10"/>
  <c r="M19" i="8"/>
  <c r="P18" i="9"/>
  <c r="Q19" i="8"/>
  <c r="P19" i="8"/>
  <c r="N21" i="8"/>
  <c r="M18" i="9"/>
  <c r="O18" i="9"/>
  <c r="Q18" i="9"/>
  <c r="Q21" i="8"/>
  <c r="P21" i="8"/>
  <c r="O20" i="9"/>
  <c r="M20" i="9"/>
  <c r="P20" i="9"/>
  <c r="Q21" i="9"/>
  <c r="N21" i="9"/>
  <c r="N20" i="8"/>
  <c r="O21" i="9"/>
  <c r="M20" i="8"/>
  <c r="M21" i="9"/>
  <c r="Q20" i="8"/>
  <c r="H22" i="7"/>
  <c r="H29" i="7"/>
  <c r="Q19" i="9"/>
  <c r="N19" i="9"/>
  <c r="O48" i="7" a="1"/>
  <c r="O48" i="7" s="1"/>
  <c r="J25" i="9"/>
  <c r="AZ48" i="7" a="1"/>
  <c r="AZ48" i="7" s="1"/>
  <c r="AZ41" i="7"/>
  <c r="J34" i="9"/>
  <c r="Q20" i="9" s="1"/>
  <c r="K14" i="10"/>
  <c r="P44" i="7" a="1"/>
  <c r="P44" i="7" s="1"/>
  <c r="P41" i="7"/>
  <c r="A8" i="8"/>
  <c r="O41" i="7"/>
  <c r="AB41" i="7"/>
  <c r="B27" i="9"/>
  <c r="J8" i="8"/>
  <c r="AI7" i="8" s="1"/>
  <c r="J5" i="8"/>
  <c r="AA41" i="7"/>
  <c r="D8" i="8"/>
  <c r="H6" i="8"/>
  <c r="H33" i="9"/>
  <c r="J33" i="9" s="1"/>
  <c r="BB33" i="7"/>
  <c r="P46" i="7" a="1"/>
  <c r="P46" i="7" s="1"/>
  <c r="O42" i="7" a="1"/>
  <c r="O42" i="7" s="1"/>
  <c r="O47" i="7" a="1"/>
  <c r="O47" i="7" s="1"/>
  <c r="B23" i="8"/>
  <c r="BB23" i="7"/>
  <c r="H23" i="9"/>
  <c r="J23" i="9" s="1"/>
  <c r="AO23" i="7"/>
  <c r="S29" i="13"/>
  <c r="W29" i="13" s="1"/>
  <c r="X29" i="13" s="1"/>
  <c r="H13" i="8"/>
  <c r="O46" i="7" a="1"/>
  <c r="O46" i="7" s="1"/>
  <c r="O45" i="7" a="1"/>
  <c r="O45" i="7" s="1"/>
  <c r="O44" i="7" a="1"/>
  <c r="O44" i="7" s="1"/>
  <c r="S18" i="13"/>
  <c r="W18" i="13" s="1"/>
  <c r="X18" i="13" s="1"/>
  <c r="S15" i="13"/>
  <c r="W15" i="13" s="1"/>
  <c r="X15" i="13" s="1"/>
  <c r="P42" i="7" a="1"/>
  <c r="P42" i="7" s="1"/>
  <c r="P45" i="7" a="1"/>
  <c r="P45" i="7" s="1"/>
  <c r="P48" i="7" a="1"/>
  <c r="P48" i="7" s="1"/>
  <c r="P49" i="7" a="1"/>
  <c r="P49" i="7" s="1"/>
  <c r="P43" i="7" a="1"/>
  <c r="P43" i="7" s="1"/>
  <c r="P47" i="7" a="1"/>
  <c r="P47" i="7" s="1"/>
  <c r="P24" i="10"/>
  <c r="Q24" i="10" s="1"/>
  <c r="S26" i="13"/>
  <c r="W26" i="13" s="1"/>
  <c r="X26" i="13" s="1"/>
  <c r="S8" i="7"/>
  <c r="S5" i="7"/>
  <c r="S23" i="7"/>
  <c r="T23" i="7" s="1"/>
  <c r="S30" i="7"/>
  <c r="S25" i="7"/>
  <c r="T25" i="7" s="1"/>
  <c r="S28" i="7"/>
  <c r="T28" i="7" s="1"/>
  <c r="S22" i="7"/>
  <c r="S11" i="7"/>
  <c r="T11" i="7" s="1"/>
  <c r="S16" i="7"/>
  <c r="T16" i="7" s="1"/>
  <c r="S35" i="7"/>
  <c r="T35" i="7" s="1"/>
  <c r="S20" i="7"/>
  <c r="T20" i="7" s="1"/>
  <c r="S34" i="7"/>
  <c r="T34" i="7" s="1"/>
  <c r="S29" i="7"/>
  <c r="S24" i="7"/>
  <c r="T24" i="7" s="1"/>
  <c r="S21" i="7"/>
  <c r="T21" i="7" s="1"/>
  <c r="S18" i="7"/>
  <c r="T18" i="7" s="1"/>
  <c r="S32" i="7"/>
  <c r="S26" i="7"/>
  <c r="S9" i="7"/>
  <c r="T9" i="7" s="1"/>
  <c r="S9" i="13"/>
  <c r="W9" i="13" s="1"/>
  <c r="X9" i="13" s="1"/>
  <c r="S21" i="13"/>
  <c r="W21" i="13" s="1"/>
  <c r="X21" i="13" s="1"/>
  <c r="AB10" i="4"/>
  <c r="AC9" i="4"/>
  <c r="AD9" i="4"/>
  <c r="AE9" i="4" s="1"/>
  <c r="W10" i="4"/>
  <c r="Q10" i="4"/>
  <c r="AC45" i="7" a="1"/>
  <c r="AC45" i="7" s="1"/>
  <c r="AC49" i="7" a="1"/>
  <c r="AC49" i="7" s="1"/>
  <c r="AC48" i="7" a="1"/>
  <c r="AC48" i="7" s="1"/>
  <c r="AC43" i="7" a="1"/>
  <c r="AC43" i="7" s="1"/>
  <c r="AC42" i="7" a="1"/>
  <c r="AC42" i="7" s="1"/>
  <c r="AC44" i="7" a="1"/>
  <c r="AC44" i="7" s="1"/>
  <c r="AC47" i="7" a="1"/>
  <c r="AC47" i="7" s="1"/>
  <c r="AC41" i="7"/>
  <c r="AC46" i="7" a="1"/>
  <c r="AC46" i="7" s="1"/>
  <c r="AE8" i="7"/>
  <c r="AF8" i="7" s="1"/>
  <c r="K9" i="4"/>
  <c r="J10" i="4"/>
  <c r="H10" i="4"/>
  <c r="I9" i="4"/>
  <c r="T30" i="7"/>
  <c r="T22" i="7"/>
  <c r="T29" i="7"/>
  <c r="T32" i="7"/>
  <c r="T26" i="7"/>
  <c r="C10" i="4"/>
  <c r="Q45" i="7" a="1"/>
  <c r="Q45" i="7" s="1"/>
  <c r="Q49" i="7" a="1"/>
  <c r="Q49" i="7" s="1"/>
  <c r="Q44" i="7" a="1"/>
  <c r="Q44" i="7" s="1"/>
  <c r="Q43" i="7" a="1"/>
  <c r="Q43" i="7" s="1"/>
  <c r="Q42" i="7" a="1"/>
  <c r="Q42" i="7" s="1"/>
  <c r="Q41" i="7"/>
  <c r="Q48" i="7" a="1"/>
  <c r="Q48" i="7" s="1"/>
  <c r="Q47" i="7" a="1"/>
  <c r="Q47" i="7" s="1"/>
  <c r="Q46" i="7" a="1"/>
  <c r="Q46" i="7" s="1"/>
  <c r="D10" i="4"/>
  <c r="E9" i="4"/>
  <c r="B8" i="8"/>
  <c r="S10" i="13"/>
  <c r="W10" i="13" s="1"/>
  <c r="X10" i="13" s="1"/>
  <c r="P5" i="10"/>
  <c r="P11" i="10"/>
  <c r="Q11" i="10" s="1"/>
  <c r="S5" i="13"/>
  <c r="W5" i="13" s="1"/>
  <c r="X5" i="13" s="1"/>
  <c r="Y6" i="13" s="1"/>
  <c r="A24" i="8"/>
  <c r="P29" i="10"/>
  <c r="Q29" i="10" s="1"/>
  <c r="AZ47" i="7" a="1"/>
  <c r="AZ47" i="7" s="1"/>
  <c r="AZ44" i="7" a="1"/>
  <c r="AZ44" i="7" s="1"/>
  <c r="AZ45" i="7" a="1"/>
  <c r="AZ45" i="7" s="1"/>
  <c r="AZ46" i="7" a="1"/>
  <c r="AZ46" i="7" s="1"/>
  <c r="AZ49" i="7" a="1"/>
  <c r="AZ49" i="7" s="1"/>
  <c r="AZ42" i="7" a="1"/>
  <c r="AZ42" i="7" s="1"/>
  <c r="J6" i="9"/>
  <c r="AI5" i="9" s="1"/>
  <c r="BB6" i="7"/>
  <c r="AZ43" i="7" a="1"/>
  <c r="AZ43" i="7" s="1"/>
  <c r="P21" i="10"/>
  <c r="R21" i="10" s="1"/>
  <c r="P27" i="10"/>
  <c r="R27" i="10" s="1"/>
  <c r="AM45" i="7" a="1"/>
  <c r="AM45" i="7" s="1"/>
  <c r="AM46" i="7" a="1"/>
  <c r="AM46" i="7" s="1"/>
  <c r="AM43" i="7" a="1"/>
  <c r="AM43" i="7" s="1"/>
  <c r="AM44" i="7" a="1"/>
  <c r="AM44" i="7" s="1"/>
  <c r="AM47" i="7" a="1"/>
  <c r="AM47" i="7" s="1"/>
  <c r="AM48" i="7" a="1"/>
  <c r="AM48" i="7" s="1"/>
  <c r="AA44" i="7" a="1"/>
  <c r="AA44" i="7" s="1"/>
  <c r="AA47" i="7" a="1"/>
  <c r="AA47" i="7" s="1"/>
  <c r="AA45" i="7" a="1"/>
  <c r="AA45" i="7" s="1"/>
  <c r="AA42" i="7" a="1"/>
  <c r="AA42" i="7" s="1"/>
  <c r="AA49" i="7" a="1"/>
  <c r="AA49" i="7" s="1"/>
  <c r="AA43" i="7" a="1"/>
  <c r="AA43" i="7" s="1"/>
  <c r="AA48" i="7" a="1"/>
  <c r="AA48" i="7" s="1"/>
  <c r="AA46" i="7" a="1"/>
  <c r="AA46" i="7" s="1"/>
  <c r="AB42" i="7" a="1"/>
  <c r="AB42" i="7" s="1"/>
  <c r="AB45" i="7" a="1"/>
  <c r="AB45" i="7" s="1"/>
  <c r="AB48" i="7" a="1"/>
  <c r="AB48" i="7" s="1"/>
  <c r="AB47" i="7" a="1"/>
  <c r="AB47" i="7" s="1"/>
  <c r="AB44" i="7" a="1"/>
  <c r="AB44" i="7" s="1"/>
  <c r="AB43" i="7" a="1"/>
  <c r="AB43" i="7" s="1"/>
  <c r="AB46" i="7" a="1"/>
  <c r="AB46" i="7" s="1"/>
  <c r="AB49" i="7" a="1"/>
  <c r="AB49" i="7" s="1"/>
  <c r="S27" i="13"/>
  <c r="W27" i="13" s="1"/>
  <c r="X27" i="13" s="1"/>
  <c r="AK81" i="11"/>
  <c r="AL72" i="11"/>
  <c r="K8" i="10"/>
  <c r="K9" i="10"/>
  <c r="L9" i="10" s="1"/>
  <c r="B8" i="9"/>
  <c r="H30" i="7"/>
  <c r="A32" i="9"/>
  <c r="P10" i="10"/>
  <c r="K25" i="10"/>
  <c r="L25" i="10" s="1"/>
  <c r="AN48" i="7" a="1"/>
  <c r="AN48" i="7" s="1"/>
  <c r="AN46" i="7" a="1"/>
  <c r="AN46" i="7" s="1"/>
  <c r="AN41" i="7"/>
  <c r="AN42" i="7" a="1"/>
  <c r="AN42" i="7" s="1"/>
  <c r="AN44" i="7" a="1"/>
  <c r="AN44" i="7" s="1"/>
  <c r="S25" i="13"/>
  <c r="W25" i="13" s="1"/>
  <c r="X25" i="13" s="1"/>
  <c r="K4" i="10"/>
  <c r="AO43" i="7" a="1"/>
  <c r="AO43" i="7" s="1"/>
  <c r="AO44" i="7" a="1"/>
  <c r="AO44" i="7" s="1"/>
  <c r="AO42" i="7" a="1"/>
  <c r="AO42" i="7" s="1"/>
  <c r="AO45" i="7" a="1"/>
  <c r="AO45" i="7" s="1"/>
  <c r="AO48" i="7" a="1"/>
  <c r="AO48" i="7" s="1"/>
  <c r="AO47" i="7" a="1"/>
  <c r="AO47" i="7" s="1"/>
  <c r="AO49" i="7" a="1"/>
  <c r="AO49" i="7" s="1"/>
  <c r="AO46" i="7" a="1"/>
  <c r="AO46" i="7" s="1"/>
  <c r="AO41" i="7"/>
  <c r="D24" i="8"/>
  <c r="AN43" i="7" a="1"/>
  <c r="AN43" i="7" s="1"/>
  <c r="AN45" i="7" a="1"/>
  <c r="AN45" i="7" s="1"/>
  <c r="AN47" i="7" a="1"/>
  <c r="AN47" i="7" s="1"/>
  <c r="AN49" i="7" a="1"/>
  <c r="AN49" i="7" s="1"/>
  <c r="K12" i="10"/>
  <c r="K10" i="10"/>
  <c r="P28" i="10"/>
  <c r="R28" i="10" s="1"/>
  <c r="B14" i="9"/>
  <c r="H32" i="7"/>
  <c r="B32" i="9"/>
  <c r="A15" i="8"/>
  <c r="A21" i="9"/>
  <c r="D27" i="8"/>
  <c r="A16" i="9"/>
  <c r="A14" i="8"/>
  <c r="B24" i="8"/>
  <c r="A12" i="8"/>
  <c r="B32" i="8"/>
  <c r="P7" i="10"/>
  <c r="Q7" i="10" s="1"/>
  <c r="P8" i="8"/>
  <c r="O8" i="8"/>
  <c r="Q8" i="8"/>
  <c r="M8" i="8"/>
  <c r="N8" i="8"/>
  <c r="AE8" i="8"/>
  <c r="AI8" i="8"/>
  <c r="AF8" i="8"/>
  <c r="AH8" i="8"/>
  <c r="AG8" i="8"/>
  <c r="AG14" i="8"/>
  <c r="AH14" i="8"/>
  <c r="AI14" i="8"/>
  <c r="AE14" i="8"/>
  <c r="AF14" i="8"/>
  <c r="P5" i="8"/>
  <c r="Q5" i="8"/>
  <c r="N5" i="8"/>
  <c r="O5" i="8"/>
  <c r="M5" i="8"/>
  <c r="M9" i="8"/>
  <c r="O9" i="8"/>
  <c r="Q9" i="8"/>
  <c r="N9" i="8"/>
  <c r="P9" i="8"/>
  <c r="O16" i="8"/>
  <c r="P16" i="8"/>
  <c r="Q16" i="8"/>
  <c r="N16" i="8"/>
  <c r="M16" i="8"/>
  <c r="N6" i="8"/>
  <c r="Q6" i="8"/>
  <c r="M6" i="8"/>
  <c r="P6" i="8"/>
  <c r="O6" i="8"/>
  <c r="AH12" i="8"/>
  <c r="AE12" i="8"/>
  <c r="AI12" i="8"/>
  <c r="AF12" i="8"/>
  <c r="AG12" i="8"/>
  <c r="AE20" i="8"/>
  <c r="AF20" i="8"/>
  <c r="AI20" i="8"/>
  <c r="AH20" i="8"/>
  <c r="AG20" i="8"/>
  <c r="A14" i="9"/>
  <c r="A27" i="8"/>
  <c r="AG18" i="9"/>
  <c r="AH18" i="9"/>
  <c r="AF18" i="9"/>
  <c r="AI18" i="9"/>
  <c r="AE18" i="9"/>
  <c r="A27" i="9"/>
  <c r="B31" i="9"/>
  <c r="K27" i="10"/>
  <c r="AE14" i="9"/>
  <c r="AI14" i="9"/>
  <c r="AH14" i="9"/>
  <c r="AF14" i="9"/>
  <c r="AG14" i="9"/>
  <c r="Q14" i="9"/>
  <c r="N14" i="9"/>
  <c r="M14" i="9"/>
  <c r="O14" i="9"/>
  <c r="P14" i="9"/>
  <c r="AH11" i="9"/>
  <c r="AE11" i="9"/>
  <c r="AI11" i="9"/>
  <c r="AG11" i="9"/>
  <c r="AF11" i="9"/>
  <c r="N11" i="9"/>
  <c r="P11" i="9"/>
  <c r="Q11" i="9"/>
  <c r="M11" i="9"/>
  <c r="O11" i="9"/>
  <c r="AI12" i="9"/>
  <c r="AE12" i="9"/>
  <c r="AH12" i="9"/>
  <c r="AF12" i="9"/>
  <c r="AG12" i="9"/>
  <c r="Q12" i="9"/>
  <c r="M12" i="9"/>
  <c r="O12" i="9"/>
  <c r="P12" i="9"/>
  <c r="N12" i="9"/>
  <c r="B12" i="9"/>
  <c r="B10" i="9"/>
  <c r="B22" i="9"/>
  <c r="B20" i="9"/>
  <c r="B33" i="9"/>
  <c r="B30" i="9"/>
  <c r="B28" i="9"/>
  <c r="B17" i="9"/>
  <c r="B23" i="9"/>
  <c r="B35" i="9"/>
  <c r="B21" i="9"/>
  <c r="B18" i="9"/>
  <c r="B16" i="9"/>
  <c r="B34" i="9"/>
  <c r="B36" i="9"/>
  <c r="B7" i="9"/>
  <c r="B11" i="9"/>
  <c r="B6" i="9"/>
  <c r="B19" i="9"/>
  <c r="B5" i="9"/>
  <c r="B4" i="9"/>
  <c r="B9" i="9"/>
  <c r="B15" i="9"/>
  <c r="B29" i="9"/>
  <c r="B26" i="9"/>
  <c r="B13" i="9"/>
  <c r="P26" i="10"/>
  <c r="D14" i="8"/>
  <c r="A32" i="8"/>
  <c r="A20" i="8"/>
  <c r="A11" i="9"/>
  <c r="A22" i="9"/>
  <c r="A33" i="9"/>
  <c r="A9" i="9"/>
  <c r="D25" i="8"/>
  <c r="K16" i="10"/>
  <c r="P4" i="10"/>
  <c r="K11" i="10"/>
  <c r="K23" i="10"/>
  <c r="P20" i="10"/>
  <c r="P12" i="10"/>
  <c r="K13" i="10"/>
  <c r="P8" i="10"/>
  <c r="P14" i="10"/>
  <c r="K7" i="10"/>
  <c r="P23" i="10"/>
  <c r="O14" i="8"/>
  <c r="P14" i="8"/>
  <c r="Q14" i="8"/>
  <c r="M14" i="8"/>
  <c r="N14" i="8"/>
  <c r="O15" i="8"/>
  <c r="Q15" i="8"/>
  <c r="N15" i="8"/>
  <c r="P15" i="8"/>
  <c r="M15" i="8"/>
  <c r="AF13" i="8"/>
  <c r="AG13" i="8"/>
  <c r="AH13" i="8"/>
  <c r="AI13" i="8"/>
  <c r="AE13" i="8"/>
  <c r="AH10" i="8"/>
  <c r="AG10" i="8"/>
  <c r="AF10" i="8"/>
  <c r="AE10" i="8"/>
  <c r="AI10" i="8"/>
  <c r="P4" i="8"/>
  <c r="M4" i="8"/>
  <c r="Q4" i="8"/>
  <c r="O4" i="8"/>
  <c r="N4" i="8"/>
  <c r="AH9" i="8"/>
  <c r="AF9" i="8"/>
  <c r="AE9" i="8"/>
  <c r="AG9" i="8"/>
  <c r="AI9" i="8"/>
  <c r="AH7" i="8"/>
  <c r="AG7" i="8"/>
  <c r="AE7" i="8"/>
  <c r="AF7" i="8"/>
  <c r="AG6" i="8"/>
  <c r="AH6" i="8"/>
  <c r="AE6" i="8"/>
  <c r="AI6" i="8"/>
  <c r="AF6" i="8"/>
  <c r="B5" i="8"/>
  <c r="B13" i="8"/>
  <c r="B16" i="8"/>
  <c r="B29" i="8"/>
  <c r="B21" i="8"/>
  <c r="B34" i="8"/>
  <c r="B6" i="8"/>
  <c r="B33" i="8"/>
  <c r="B10" i="8"/>
  <c r="B28" i="8"/>
  <c r="B4" i="8"/>
  <c r="B15" i="8"/>
  <c r="B11" i="8"/>
  <c r="B36" i="8"/>
  <c r="B19" i="8"/>
  <c r="B35" i="8"/>
  <c r="B26" i="8"/>
  <c r="B20" i="8"/>
  <c r="B7" i="8"/>
  <c r="B31" i="8"/>
  <c r="B12" i="8"/>
  <c r="B17" i="8"/>
  <c r="B9" i="8"/>
  <c r="B22" i="8"/>
  <c r="B18" i="8"/>
  <c r="B30" i="8"/>
  <c r="B25" i="8"/>
  <c r="B25" i="9"/>
  <c r="AE13" i="9"/>
  <c r="AF13" i="9"/>
  <c r="AG13" i="9"/>
  <c r="AI13" i="9"/>
  <c r="AH13" i="9"/>
  <c r="A10" i="9"/>
  <c r="A34" i="9"/>
  <c r="A20" i="9"/>
  <c r="AF6" i="9"/>
  <c r="AI6" i="9"/>
  <c r="AE6" i="9"/>
  <c r="AH6" i="9"/>
  <c r="AG6" i="9"/>
  <c r="AH15" i="9"/>
  <c r="AG15" i="9"/>
  <c r="AE15" i="9"/>
  <c r="AI15" i="9"/>
  <c r="AF15" i="9"/>
  <c r="P15" i="9"/>
  <c r="Q15" i="9"/>
  <c r="N15" i="9"/>
  <c r="O15" i="9"/>
  <c r="M15" i="9"/>
  <c r="AH16" i="9"/>
  <c r="AG16" i="9"/>
  <c r="AI16" i="9"/>
  <c r="AE16" i="9"/>
  <c r="AF16" i="9"/>
  <c r="P16" i="9"/>
  <c r="O16" i="9"/>
  <c r="Q16" i="9"/>
  <c r="N16" i="9"/>
  <c r="M16" i="9"/>
  <c r="A35" i="9"/>
  <c r="A7" i="9"/>
  <c r="A18" i="9"/>
  <c r="A29" i="9"/>
  <c r="A5" i="9"/>
  <c r="A12" i="9"/>
  <c r="L14" i="10"/>
  <c r="M14" i="10" s="1"/>
  <c r="K6" i="10"/>
  <c r="K22" i="10"/>
  <c r="P13" i="10"/>
  <c r="K21" i="10"/>
  <c r="Q15" i="10"/>
  <c r="R15" i="10"/>
  <c r="K28" i="10"/>
  <c r="AF11" i="8"/>
  <c r="AI11" i="8"/>
  <c r="AG11" i="8"/>
  <c r="AE11" i="8"/>
  <c r="AH11" i="8"/>
  <c r="O13" i="8"/>
  <c r="Q13" i="8"/>
  <c r="M13" i="8"/>
  <c r="N13" i="8"/>
  <c r="P13" i="8"/>
  <c r="O11" i="8"/>
  <c r="N11" i="8"/>
  <c r="M11" i="8"/>
  <c r="P11" i="8"/>
  <c r="Q11" i="8"/>
  <c r="AI17" i="8"/>
  <c r="AG17" i="8"/>
  <c r="AE17" i="8"/>
  <c r="AF17" i="8"/>
  <c r="AH17" i="8"/>
  <c r="AG16" i="8"/>
  <c r="AE16" i="8"/>
  <c r="AF16" i="8"/>
  <c r="AH16" i="8"/>
  <c r="AI16" i="8"/>
  <c r="AE4" i="8"/>
  <c r="AI4" i="8"/>
  <c r="AG4" i="8"/>
  <c r="AF4" i="8"/>
  <c r="AJ25" i="8" s="1"/>
  <c r="AL25" i="8" s="1"/>
  <c r="AH4" i="8"/>
  <c r="AK25" i="8" s="1"/>
  <c r="N7" i="8"/>
  <c r="P7" i="8"/>
  <c r="Q7" i="8"/>
  <c r="O7" i="8"/>
  <c r="M7" i="8"/>
  <c r="P17" i="8"/>
  <c r="N17" i="8"/>
  <c r="M17" i="8"/>
  <c r="O17" i="8"/>
  <c r="Q17" i="8"/>
  <c r="P12" i="8"/>
  <c r="M12" i="8"/>
  <c r="N12" i="8"/>
  <c r="O12" i="8"/>
  <c r="Q12" i="8"/>
  <c r="AE18" i="8"/>
  <c r="AF18" i="8"/>
  <c r="AH18" i="8"/>
  <c r="AG18" i="8"/>
  <c r="AI18" i="8"/>
  <c r="A6" i="8"/>
  <c r="A16" i="8"/>
  <c r="A21" i="8"/>
  <c r="A4" i="8"/>
  <c r="D28" i="8"/>
  <c r="D36" i="8"/>
  <c r="D10" i="8"/>
  <c r="A11" i="8"/>
  <c r="A17" i="8"/>
  <c r="A28" i="8"/>
  <c r="A33" i="8"/>
  <c r="D6" i="8"/>
  <c r="D16" i="8"/>
  <c r="D21" i="8"/>
  <c r="D29" i="8"/>
  <c r="D33" i="8"/>
  <c r="D4" i="8"/>
  <c r="A7" i="8"/>
  <c r="A13" i="8"/>
  <c r="A19" i="8"/>
  <c r="A29" i="8"/>
  <c r="A35" i="8"/>
  <c r="D11" i="8"/>
  <c r="D17" i="8"/>
  <c r="D22" i="8"/>
  <c r="D26" i="8"/>
  <c r="D34" i="8"/>
  <c r="A9" i="8"/>
  <c r="D7" i="8"/>
  <c r="A36" i="8"/>
  <c r="C36" i="8" s="1"/>
  <c r="D9" i="8"/>
  <c r="D13" i="8"/>
  <c r="D31" i="8"/>
  <c r="D19" i="8"/>
  <c r="D35" i="8"/>
  <c r="A10" i="8"/>
  <c r="A31" i="8"/>
  <c r="D20" i="8"/>
  <c r="A26" i="8"/>
  <c r="A34" i="8"/>
  <c r="A30" i="8"/>
  <c r="D18" i="8"/>
  <c r="A5" i="8"/>
  <c r="D5" i="8"/>
  <c r="A22" i="8"/>
  <c r="A18" i="8"/>
  <c r="B27" i="8"/>
  <c r="D30" i="8"/>
  <c r="D15" i="8"/>
  <c r="D12" i="8"/>
  <c r="K26" i="10"/>
  <c r="AH7" i="9"/>
  <c r="AG7" i="9"/>
  <c r="AF7" i="9"/>
  <c r="AE7" i="9"/>
  <c r="AI7" i="9"/>
  <c r="P13" i="9"/>
  <c r="N13" i="9"/>
  <c r="O13" i="9"/>
  <c r="Q13" i="9"/>
  <c r="M13" i="9"/>
  <c r="AE17" i="9"/>
  <c r="AH17" i="9"/>
  <c r="AF17" i="9"/>
  <c r="AG17" i="9"/>
  <c r="AI17" i="9"/>
  <c r="M4" i="9"/>
  <c r="N4" i="9"/>
  <c r="Q4" i="9"/>
  <c r="P4" i="9"/>
  <c r="O4" i="9"/>
  <c r="M6" i="9"/>
  <c r="O6" i="9"/>
  <c r="N6" i="9"/>
  <c r="P6" i="9"/>
  <c r="Q6" i="9"/>
  <c r="AI8" i="9"/>
  <c r="AG8" i="9"/>
  <c r="AE8" i="9"/>
  <c r="AH8" i="9"/>
  <c r="AF8" i="9"/>
  <c r="A8" i="9"/>
  <c r="AF5" i="9"/>
  <c r="AE5" i="9"/>
  <c r="AH5" i="9"/>
  <c r="AG5" i="9"/>
  <c r="A24" i="9"/>
  <c r="A31" i="9"/>
  <c r="AF20" i="9"/>
  <c r="AH20" i="9"/>
  <c r="AE20" i="9"/>
  <c r="AG20" i="9"/>
  <c r="AI20" i="9"/>
  <c r="A23" i="9"/>
  <c r="A30" i="9"/>
  <c r="A6" i="9"/>
  <c r="A17" i="9"/>
  <c r="A36" i="9"/>
  <c r="P18" i="10"/>
  <c r="P17" i="10"/>
  <c r="K19" i="10"/>
  <c r="K18" i="10"/>
  <c r="K24" i="10"/>
  <c r="P25" i="10"/>
  <c r="P9" i="10"/>
  <c r="K20" i="10"/>
  <c r="P22" i="10"/>
  <c r="K15" i="10"/>
  <c r="K29" i="10"/>
  <c r="A19" i="9"/>
  <c r="AI22" i="8"/>
  <c r="AE22" i="8"/>
  <c r="AF22" i="8"/>
  <c r="AG22" i="8"/>
  <c r="AH22" i="8"/>
  <c r="Q10" i="8"/>
  <c r="M10" i="8"/>
  <c r="N10" i="8"/>
  <c r="P10" i="8"/>
  <c r="O10" i="8"/>
  <c r="AI5" i="8"/>
  <c r="AF5" i="8"/>
  <c r="AE5" i="8"/>
  <c r="AG5" i="8"/>
  <c r="AH5" i="8"/>
  <c r="AF15" i="8"/>
  <c r="AE15" i="8"/>
  <c r="AH15" i="8"/>
  <c r="AG15" i="8"/>
  <c r="AI15" i="8"/>
  <c r="AI19" i="8"/>
  <c r="AE19" i="8"/>
  <c r="AH19" i="8"/>
  <c r="AF19" i="8"/>
  <c r="AG19" i="8"/>
  <c r="AE21" i="8"/>
  <c r="AI21" i="8"/>
  <c r="AG21" i="8"/>
  <c r="AH21" i="8"/>
  <c r="AF21" i="8"/>
  <c r="AH19" i="9"/>
  <c r="AE19" i="9"/>
  <c r="AF19" i="9"/>
  <c r="AI19" i="9"/>
  <c r="AG19" i="9"/>
  <c r="AI22" i="9"/>
  <c r="AH22" i="9"/>
  <c r="AG22" i="9"/>
  <c r="AF22" i="9"/>
  <c r="AE22" i="9"/>
  <c r="AI9" i="9"/>
  <c r="AG9" i="9"/>
  <c r="AF9" i="9"/>
  <c r="AE9" i="9"/>
  <c r="AH9" i="9"/>
  <c r="M9" i="9"/>
  <c r="O9" i="9"/>
  <c r="N9" i="9"/>
  <c r="P9" i="9"/>
  <c r="Q9" i="9"/>
  <c r="M17" i="9"/>
  <c r="P17" i="9"/>
  <c r="Q17" i="9"/>
  <c r="O17" i="9"/>
  <c r="N17" i="9"/>
  <c r="AI10" i="9"/>
  <c r="AG10" i="9"/>
  <c r="AH10" i="9"/>
  <c r="AF10" i="9"/>
  <c r="AE10" i="9"/>
  <c r="Q10" i="9"/>
  <c r="P10" i="9"/>
  <c r="M10" i="9"/>
  <c r="O10" i="9"/>
  <c r="N10" i="9"/>
  <c r="N5" i="9"/>
  <c r="P5" i="9"/>
  <c r="O5" i="9"/>
  <c r="Q5" i="9"/>
  <c r="M5" i="9"/>
  <c r="M7" i="9"/>
  <c r="N7" i="9"/>
  <c r="O7" i="9"/>
  <c r="P7" i="9"/>
  <c r="Q7" i="9"/>
  <c r="AI4" i="9"/>
  <c r="AG4" i="9"/>
  <c r="AF4" i="9"/>
  <c r="AE4" i="9"/>
  <c r="AH4" i="9"/>
  <c r="AK25" i="9" s="1"/>
  <c r="N8" i="9"/>
  <c r="Q8" i="9"/>
  <c r="M8" i="9"/>
  <c r="P8" i="9"/>
  <c r="O8" i="9"/>
  <c r="B14" i="8"/>
  <c r="B24" i="9"/>
  <c r="D32" i="8"/>
  <c r="A23" i="8"/>
  <c r="A15" i="9"/>
  <c r="A26" i="9"/>
  <c r="A4" i="9"/>
  <c r="A13" i="9"/>
  <c r="A28" i="9"/>
  <c r="A25" i="8"/>
  <c r="K5" i="10"/>
  <c r="K17" i="10"/>
  <c r="Q16" i="10"/>
  <c r="R16" i="10"/>
  <c r="P19" i="10"/>
  <c r="P6" i="10"/>
  <c r="D23" i="8"/>
  <c r="A25" i="9"/>
  <c r="S35" i="14" a="1"/>
  <c r="S35" i="14" s="1"/>
  <c r="R35" i="14" a="1"/>
  <c r="R35" i="14" s="1"/>
  <c r="H4" i="7"/>
  <c r="Q35" i="14" a="1"/>
  <c r="Q35" i="14" s="1"/>
  <c r="T35" i="14" a="1"/>
  <c r="T35" i="14" s="1"/>
  <c r="AD30" i="7"/>
  <c r="AD15" i="7"/>
  <c r="AD29" i="7"/>
  <c r="AD22" i="7"/>
  <c r="AD9" i="7"/>
  <c r="AD17" i="7"/>
  <c r="AD33" i="7"/>
  <c r="AD11" i="7"/>
  <c r="AD35" i="7"/>
  <c r="AD19" i="7"/>
  <c r="AD20" i="7"/>
  <c r="AD23" i="7"/>
  <c r="AD18" i="7"/>
  <c r="AD13" i="7"/>
  <c r="AD26" i="7"/>
  <c r="AD31" i="7"/>
  <c r="AD10" i="7"/>
  <c r="AD14" i="7"/>
  <c r="AD32" i="7"/>
  <c r="AD21" i="7"/>
  <c r="AD24" i="7"/>
  <c r="AD4" i="7"/>
  <c r="AD12" i="7"/>
  <c r="AD25" i="7"/>
  <c r="AD34" i="7"/>
  <c r="AD28" i="7"/>
  <c r="AD16" i="7"/>
  <c r="AD27" i="7"/>
  <c r="AA79" i="10" l="1" a="1"/>
  <c r="AA79" i="10" s="1"/>
  <c r="AA47" i="10" a="1"/>
  <c r="AA47" i="10" s="1"/>
  <c r="AA62" i="10" a="1"/>
  <c r="AA62" i="10" s="1"/>
  <c r="AA49" i="10" a="1"/>
  <c r="AA49" i="10" s="1"/>
  <c r="AA60" i="10" a="1"/>
  <c r="AA60" i="10" s="1"/>
  <c r="AA69" i="10" a="1"/>
  <c r="AA69" i="10" s="1"/>
  <c r="AA58" i="10" a="1"/>
  <c r="AA58" i="10" s="1"/>
  <c r="AA67" i="10" a="1"/>
  <c r="AA67" i="10" s="1"/>
  <c r="AA51" i="10" a="1"/>
  <c r="AA51" i="10" s="1"/>
  <c r="AA63" i="10" a="1"/>
  <c r="AA63" i="10" s="1"/>
  <c r="AA75" i="10" a="1"/>
  <c r="AA75" i="10" s="1"/>
  <c r="AA61" i="10" a="1"/>
  <c r="AA61" i="10" s="1"/>
  <c r="AA70" i="10" a="1"/>
  <c r="AA70" i="10" s="1"/>
  <c r="AA83" i="10" a="1"/>
  <c r="AA83" i="10" s="1"/>
  <c r="AA72" i="10" a="1"/>
  <c r="AA72" i="10" s="1"/>
  <c r="AA66" i="10" a="1"/>
  <c r="AA66" i="10" s="1"/>
  <c r="AA48" i="10" a="1"/>
  <c r="AA48" i="10" s="1"/>
  <c r="AA55" i="10" a="1"/>
  <c r="AA55" i="10" s="1"/>
  <c r="AA76" i="10" a="1"/>
  <c r="AA76" i="10" s="1"/>
  <c r="AA71" i="10" a="1"/>
  <c r="AA71" i="10" s="1"/>
  <c r="AA54" i="10" a="1"/>
  <c r="AA54" i="10" s="1"/>
  <c r="AA50" i="10" a="1"/>
  <c r="AA50" i="10" s="1"/>
  <c r="AA52" i="10" a="1"/>
  <c r="AA52" i="10" s="1"/>
  <c r="AA59" i="10" a="1"/>
  <c r="AA59" i="10" s="1"/>
  <c r="AA56" i="10" a="1"/>
  <c r="AA56" i="10" s="1"/>
  <c r="AA68" i="10" a="1"/>
  <c r="AA68" i="10" s="1"/>
  <c r="AA57" i="10" a="1"/>
  <c r="AA57" i="10" s="1"/>
  <c r="AA64" i="10" a="1"/>
  <c r="AA64" i="10" s="1"/>
  <c r="AA81" i="10" a="1"/>
  <c r="AA81" i="10" s="1"/>
  <c r="AA74" i="10" a="1"/>
  <c r="AA74" i="10" s="1"/>
  <c r="AA53" i="10" a="1"/>
  <c r="AA53" i="10" s="1"/>
  <c r="AA73" i="10" a="1"/>
  <c r="AA73" i="10" s="1"/>
  <c r="AA78" i="10" a="1"/>
  <c r="AA78" i="10" s="1"/>
  <c r="AA77" i="10" a="1"/>
  <c r="AA77" i="10" s="1"/>
  <c r="AA80" i="10" a="1"/>
  <c r="AA80" i="10" s="1"/>
  <c r="AA65" i="10" a="1"/>
  <c r="AA65" i="10" s="1"/>
  <c r="AA82" i="10" a="1"/>
  <c r="AA82" i="10" s="1"/>
  <c r="C18" i="8"/>
  <c r="C19" i="8"/>
  <c r="C9" i="8"/>
  <c r="C4" i="8"/>
  <c r="AG36" i="8"/>
  <c r="AG39" i="8"/>
  <c r="AG35" i="8"/>
  <c r="O34" i="8"/>
  <c r="O39" i="8"/>
  <c r="O25" i="8"/>
  <c r="O20" i="8"/>
  <c r="O19" i="8"/>
  <c r="O33" i="8"/>
  <c r="AG23" i="8"/>
  <c r="AG24" i="8"/>
  <c r="O36" i="8"/>
  <c r="O31" i="8"/>
  <c r="O22" i="8"/>
  <c r="AG29" i="8"/>
  <c r="O18" i="8"/>
  <c r="AG32" i="8"/>
  <c r="AG33" i="8"/>
  <c r="O21" i="8"/>
  <c r="AG25" i="8"/>
  <c r="O32" i="8"/>
  <c r="O37" i="8"/>
  <c r="AG40" i="8"/>
  <c r="AG27" i="8"/>
  <c r="O26" i="8"/>
  <c r="O30" i="8"/>
  <c r="AG34" i="8"/>
  <c r="AG31" i="8"/>
  <c r="O23" i="8"/>
  <c r="O35" i="8"/>
  <c r="O28" i="8"/>
  <c r="O24" i="8"/>
  <c r="O27" i="8"/>
  <c r="O29" i="8"/>
  <c r="AG38" i="8"/>
  <c r="AG26" i="8"/>
  <c r="AG30" i="8"/>
  <c r="AG28" i="8"/>
  <c r="O38" i="8"/>
  <c r="AG37" i="8"/>
  <c r="O40" i="8"/>
  <c r="T14" i="10"/>
  <c r="C22" i="8"/>
  <c r="C31" i="8"/>
  <c r="C29" i="8"/>
  <c r="C13" i="8"/>
  <c r="C32" i="9"/>
  <c r="C8" i="8"/>
  <c r="BB41" i="7"/>
  <c r="BB45" i="7" a="1"/>
  <c r="BB45" i="7" s="1"/>
  <c r="BB43" i="7" a="1"/>
  <c r="BB43" i="7" s="1"/>
  <c r="BB44" i="7" a="1"/>
  <c r="BB44" i="7" s="1"/>
  <c r="BB47" i="7" a="1"/>
  <c r="BB47" i="7" s="1"/>
  <c r="BB42" i="7" a="1"/>
  <c r="BB42" i="7" s="1"/>
  <c r="BB49" i="7" a="1"/>
  <c r="BB49" i="7" s="1"/>
  <c r="BB48" i="7" a="1"/>
  <c r="BB48" i="7" s="1"/>
  <c r="BB46" i="7" a="1"/>
  <c r="BB46" i="7" s="1"/>
  <c r="C21" i="9"/>
  <c r="C16" i="9"/>
  <c r="C23" i="8"/>
  <c r="R11" i="10"/>
  <c r="R24" i="10"/>
  <c r="C32" i="8"/>
  <c r="Q21" i="10"/>
  <c r="C24" i="8"/>
  <c r="Q27" i="10"/>
  <c r="Q5" i="10"/>
  <c r="R5" i="10" s="1"/>
  <c r="T10" i="10"/>
  <c r="S14" i="7"/>
  <c r="T14" i="7" s="1"/>
  <c r="S10" i="7"/>
  <c r="T10" i="7" s="1"/>
  <c r="S17" i="7"/>
  <c r="T17" i="7" s="1"/>
  <c r="S13" i="7"/>
  <c r="T13" i="7" s="1"/>
  <c r="S12" i="7"/>
  <c r="S19" i="7"/>
  <c r="S31" i="7"/>
  <c r="S27" i="7"/>
  <c r="T27" i="7" s="1"/>
  <c r="S33" i="7"/>
  <c r="T33" i="7" s="1"/>
  <c r="S15" i="7"/>
  <c r="T8" i="7"/>
  <c r="R29" i="10"/>
  <c r="Q10" i="10"/>
  <c r="R10" i="10" s="1"/>
  <c r="L10" i="10"/>
  <c r="M10" i="10" s="1"/>
  <c r="L4" i="10"/>
  <c r="M4" i="10" s="1"/>
  <c r="Y24" i="13"/>
  <c r="AB11" i="4"/>
  <c r="AD10" i="4"/>
  <c r="AE10" i="4" s="1"/>
  <c r="AC10" i="4"/>
  <c r="Y10" i="13"/>
  <c r="W11" i="4"/>
  <c r="Y5" i="13"/>
  <c r="Y11" i="13"/>
  <c r="Y14" i="13"/>
  <c r="Q11" i="4"/>
  <c r="AE31" i="7"/>
  <c r="AF31" i="7" s="1"/>
  <c r="AE27" i="7"/>
  <c r="AF27" i="7" s="1"/>
  <c r="AE19" i="7"/>
  <c r="AF19" i="7" s="1"/>
  <c r="AE10" i="7"/>
  <c r="AF10" i="7" s="1"/>
  <c r="AE13" i="7"/>
  <c r="AF13" i="7" s="1"/>
  <c r="AE17" i="7"/>
  <c r="AF17" i="7" s="1"/>
  <c r="AE12" i="7"/>
  <c r="AF12" i="7" s="1"/>
  <c r="AE33" i="7"/>
  <c r="AF33" i="7" s="1"/>
  <c r="AE14" i="7"/>
  <c r="AF14" i="7" s="1"/>
  <c r="AE15" i="7"/>
  <c r="AF15" i="7" s="1"/>
  <c r="K10" i="4"/>
  <c r="Y18" i="13"/>
  <c r="AE23" i="7"/>
  <c r="AF23" i="7" s="1"/>
  <c r="H23" i="7" s="1"/>
  <c r="AE24" i="7"/>
  <c r="AF24" i="7" s="1"/>
  <c r="H24" i="7" s="1"/>
  <c r="AE30" i="7"/>
  <c r="AF30" i="7" s="1"/>
  <c r="AE28" i="7"/>
  <c r="AF28" i="7" s="1"/>
  <c r="H28" i="7" s="1"/>
  <c r="AE26" i="7"/>
  <c r="AF26" i="7" s="1"/>
  <c r="AD46" i="7" a="1"/>
  <c r="AD46" i="7" s="1"/>
  <c r="AD47" i="7" a="1"/>
  <c r="AD47" i="7" s="1"/>
  <c r="AD44" i="7" a="1"/>
  <c r="AD44" i="7" s="1"/>
  <c r="AD45" i="7" a="1"/>
  <c r="AD45" i="7" s="1"/>
  <c r="AD43" i="7" a="1"/>
  <c r="AD43" i="7" s="1"/>
  <c r="AD41" i="7"/>
  <c r="AD42" i="7" a="1"/>
  <c r="AD42" i="7" s="1"/>
  <c r="AE4" i="7"/>
  <c r="AE25" i="7"/>
  <c r="AF25" i="7" s="1"/>
  <c r="H25" i="7" s="1"/>
  <c r="AE9" i="7"/>
  <c r="AF9" i="7" s="1"/>
  <c r="H9" i="7" s="1"/>
  <c r="AE34" i="7"/>
  <c r="AF34" i="7" s="1"/>
  <c r="H34" i="7" s="1"/>
  <c r="AE35" i="7"/>
  <c r="AF35" i="7" s="1"/>
  <c r="H35" i="7" s="1"/>
  <c r="AE32" i="7"/>
  <c r="AF32" i="7" s="1"/>
  <c r="AE22" i="7"/>
  <c r="AF22" i="7" s="1"/>
  <c r="AE21" i="7"/>
  <c r="AF21" i="7" s="1"/>
  <c r="H21" i="7" s="1"/>
  <c r="AE18" i="7"/>
  <c r="AF18" i="7" s="1"/>
  <c r="H18" i="7" s="1"/>
  <c r="AE20" i="7"/>
  <c r="AF20" i="7" s="1"/>
  <c r="H20" i="7" s="1"/>
  <c r="AE11" i="7"/>
  <c r="AF11" i="7" s="1"/>
  <c r="H11" i="7" s="1"/>
  <c r="AE16" i="7"/>
  <c r="AF16" i="7" s="1"/>
  <c r="H16" i="7" s="1"/>
  <c r="AE29" i="7"/>
  <c r="AF29" i="7" s="1"/>
  <c r="Y12" i="13"/>
  <c r="Y19" i="13"/>
  <c r="I10" i="4"/>
  <c r="Y16" i="13"/>
  <c r="Y17" i="13"/>
  <c r="Y9" i="13"/>
  <c r="Y21" i="13"/>
  <c r="Y28" i="13"/>
  <c r="Y8" i="13"/>
  <c r="Y7" i="13"/>
  <c r="Y13" i="13"/>
  <c r="Y15" i="13"/>
  <c r="Y23" i="13"/>
  <c r="Y22" i="13"/>
  <c r="Y20" i="13"/>
  <c r="T12" i="7"/>
  <c r="T19" i="7"/>
  <c r="T31" i="7"/>
  <c r="T15" i="7"/>
  <c r="T7" i="7"/>
  <c r="T6" i="7"/>
  <c r="R41" i="7"/>
  <c r="R47" i="7" a="1"/>
  <c r="R47" i="7" s="1"/>
  <c r="R42" i="7" a="1"/>
  <c r="R42" i="7" s="1"/>
  <c r="R44" i="7" a="1"/>
  <c r="R44" i="7" s="1"/>
  <c r="R45" i="7" a="1"/>
  <c r="R45" i="7" s="1"/>
  <c r="R46" i="7" a="1"/>
  <c r="R46" i="7" s="1"/>
  <c r="R43" i="7" a="1"/>
  <c r="R43" i="7" s="1"/>
  <c r="E10" i="4"/>
  <c r="C15" i="8"/>
  <c r="C34" i="8"/>
  <c r="C28" i="8"/>
  <c r="C30" i="8"/>
  <c r="C17" i="8"/>
  <c r="L8" i="10"/>
  <c r="M8" i="10" s="1"/>
  <c r="R7" i="10"/>
  <c r="M9" i="10"/>
  <c r="Q28" i="10"/>
  <c r="C14" i="8"/>
  <c r="T8" i="10"/>
  <c r="T4" i="10"/>
  <c r="C25" i="8"/>
  <c r="C7" i="8"/>
  <c r="C16" i="8"/>
  <c r="C6" i="8"/>
  <c r="L12" i="10"/>
  <c r="M12" i="10" s="1"/>
  <c r="C5" i="8"/>
  <c r="C26" i="8"/>
  <c r="C21" i="8"/>
  <c r="M25" i="10"/>
  <c r="T9" i="10"/>
  <c r="T12" i="10"/>
  <c r="Y25" i="13"/>
  <c r="Y27" i="13"/>
  <c r="Y26" i="13"/>
  <c r="Y29" i="13"/>
  <c r="C12" i="8"/>
  <c r="S22" i="9"/>
  <c r="R22" i="9"/>
  <c r="R22" i="8"/>
  <c r="T22" i="9"/>
  <c r="S21" i="9"/>
  <c r="R21" i="9"/>
  <c r="R21" i="8"/>
  <c r="S21" i="8"/>
  <c r="S22" i="8"/>
  <c r="S20" i="9"/>
  <c r="R20" i="9"/>
  <c r="S20" i="8"/>
  <c r="R19" i="9"/>
  <c r="R19" i="8"/>
  <c r="S19" i="8"/>
  <c r="R20" i="8"/>
  <c r="S18" i="9"/>
  <c r="R18" i="9"/>
  <c r="R18" i="8"/>
  <c r="S18" i="8"/>
  <c r="S19" i="9"/>
  <c r="T19" i="9" s="1"/>
  <c r="S17" i="9"/>
  <c r="R17" i="9"/>
  <c r="AJ4" i="9"/>
  <c r="R17" i="8"/>
  <c r="S17" i="8"/>
  <c r="R12" i="8"/>
  <c r="AK24" i="9"/>
  <c r="AJ24" i="8"/>
  <c r="S10" i="8"/>
  <c r="AJ25" i="9"/>
  <c r="R8" i="9"/>
  <c r="AJ23" i="9"/>
  <c r="AK23" i="8"/>
  <c r="AK23" i="9"/>
  <c r="AJ23" i="8"/>
  <c r="AJ24" i="9"/>
  <c r="AK24" i="8"/>
  <c r="AL24" i="8" s="1"/>
  <c r="AK5" i="8"/>
  <c r="AK7" i="8"/>
  <c r="AK15" i="8"/>
  <c r="S8" i="9"/>
  <c r="R9" i="9"/>
  <c r="R11" i="8"/>
  <c r="R15" i="8"/>
  <c r="R12" i="9"/>
  <c r="S14" i="9"/>
  <c r="AK18" i="9"/>
  <c r="R16" i="8"/>
  <c r="AK8" i="8"/>
  <c r="AK21" i="9"/>
  <c r="R7" i="9"/>
  <c r="S10" i="9"/>
  <c r="AK10" i="9"/>
  <c r="AJ16" i="8"/>
  <c r="AJ16" i="9"/>
  <c r="AK10" i="8"/>
  <c r="R10" i="9"/>
  <c r="AJ22" i="9"/>
  <c r="AK19" i="9"/>
  <c r="AK19" i="8"/>
  <c r="AJ22" i="8"/>
  <c r="AJ20" i="9"/>
  <c r="R6" i="9"/>
  <c r="S15" i="9"/>
  <c r="C10" i="8"/>
  <c r="C11" i="8"/>
  <c r="AK14" i="8"/>
  <c r="S11" i="8"/>
  <c r="S13" i="8"/>
  <c r="AJ9" i="8"/>
  <c r="S12" i="9"/>
  <c r="S11" i="9"/>
  <c r="AK20" i="8"/>
  <c r="AJ8" i="8"/>
  <c r="AJ21" i="8"/>
  <c r="AJ4" i="8"/>
  <c r="R10" i="8"/>
  <c r="AJ8" i="9"/>
  <c r="C33" i="8"/>
  <c r="S12" i="8"/>
  <c r="AJ7" i="8"/>
  <c r="R13" i="8"/>
  <c r="AK11" i="8"/>
  <c r="AJ15" i="9"/>
  <c r="AJ13" i="9"/>
  <c r="S14" i="8"/>
  <c r="AJ12" i="9"/>
  <c r="AJ14" i="9"/>
  <c r="S16" i="8"/>
  <c r="S9" i="9"/>
  <c r="AJ6" i="9"/>
  <c r="AJ10" i="9"/>
  <c r="AK22" i="9"/>
  <c r="AK21" i="8"/>
  <c r="S7" i="8"/>
  <c r="AK22" i="8"/>
  <c r="AK8" i="9"/>
  <c r="R14" i="9"/>
  <c r="C35" i="8"/>
  <c r="AK18" i="8"/>
  <c r="S4" i="8"/>
  <c r="AK16" i="8"/>
  <c r="AK17" i="8"/>
  <c r="S16" i="9"/>
  <c r="AK13" i="9"/>
  <c r="AK6" i="8"/>
  <c r="R8" i="8"/>
  <c r="S6" i="8"/>
  <c r="S15" i="8"/>
  <c r="R14" i="8"/>
  <c r="T14" i="8" s="1"/>
  <c r="AJ11" i="9"/>
  <c r="AK11" i="9"/>
  <c r="AJ20" i="8"/>
  <c r="AL20" i="8" s="1"/>
  <c r="R5" i="8"/>
  <c r="AL22" i="9"/>
  <c r="AL21" i="8"/>
  <c r="R19" i="10"/>
  <c r="Q19" i="10"/>
  <c r="L17" i="10"/>
  <c r="M17" i="10"/>
  <c r="T17" i="10"/>
  <c r="C13" i="9"/>
  <c r="D13" i="9"/>
  <c r="S5" i="9"/>
  <c r="AJ15" i="8"/>
  <c r="M15" i="10"/>
  <c r="S15" i="10" s="1"/>
  <c r="W15" i="10" s="1"/>
  <c r="X15" i="10" s="1"/>
  <c r="L15" i="10"/>
  <c r="T15" i="10"/>
  <c r="Q25" i="10"/>
  <c r="R25" i="10"/>
  <c r="D6" i="9"/>
  <c r="C6" i="9"/>
  <c r="D31" i="9"/>
  <c r="C31" i="9"/>
  <c r="R13" i="9"/>
  <c r="AK4" i="8"/>
  <c r="L28" i="10"/>
  <c r="M28" i="10"/>
  <c r="S28" i="10" s="1"/>
  <c r="W28" i="10" s="1"/>
  <c r="X28" i="10" s="1"/>
  <c r="T28" i="10"/>
  <c r="Q13" i="10"/>
  <c r="R13" i="10" s="1"/>
  <c r="C29" i="9"/>
  <c r="D29" i="9"/>
  <c r="R16" i="9"/>
  <c r="D34" i="9"/>
  <c r="C34" i="9"/>
  <c r="R4" i="8"/>
  <c r="L7" i="10"/>
  <c r="M7" i="10" s="1"/>
  <c r="T7" i="10"/>
  <c r="Q12" i="10"/>
  <c r="R12" i="10" s="1"/>
  <c r="L16" i="10"/>
  <c r="M16" i="10"/>
  <c r="S16" i="10" s="1"/>
  <c r="W16" i="10" s="1"/>
  <c r="X16" i="10" s="1"/>
  <c r="T16" i="10"/>
  <c r="D22" i="9"/>
  <c r="C22" i="9"/>
  <c r="R11" i="9"/>
  <c r="AJ18" i="9"/>
  <c r="C14" i="9"/>
  <c r="D14" i="9"/>
  <c r="L5" i="10"/>
  <c r="M5" i="10" s="1"/>
  <c r="T5" i="10"/>
  <c r="D4" i="9"/>
  <c r="C4" i="9"/>
  <c r="AJ9" i="9"/>
  <c r="AJ19" i="9"/>
  <c r="R22" i="10"/>
  <c r="Q22" i="10"/>
  <c r="M24" i="10"/>
  <c r="L24" i="10"/>
  <c r="T24" i="10"/>
  <c r="L19" i="10"/>
  <c r="M19" i="10"/>
  <c r="T19" i="10"/>
  <c r="D30" i="9"/>
  <c r="C30" i="9"/>
  <c r="D24" i="9"/>
  <c r="C24" i="9"/>
  <c r="S6" i="9"/>
  <c r="S4" i="9"/>
  <c r="AJ17" i="9"/>
  <c r="S13" i="9"/>
  <c r="AK7" i="9"/>
  <c r="L26" i="10"/>
  <c r="M26" i="10"/>
  <c r="T26" i="10"/>
  <c r="AJ11" i="8"/>
  <c r="L22" i="10"/>
  <c r="M22" i="10"/>
  <c r="T22" i="10"/>
  <c r="D18" i="9"/>
  <c r="C18" i="9"/>
  <c r="R15" i="9"/>
  <c r="AK15" i="9"/>
  <c r="C10" i="9"/>
  <c r="D10" i="9"/>
  <c r="AK9" i="8"/>
  <c r="AJ13" i="8"/>
  <c r="Q14" i="10"/>
  <c r="R14" i="10" s="1"/>
  <c r="S14" i="10" s="1"/>
  <c r="W14" i="10" s="1"/>
  <c r="X14" i="10" s="1"/>
  <c r="Q20" i="10"/>
  <c r="R20" i="10"/>
  <c r="T25" i="10"/>
  <c r="Q4" i="10"/>
  <c r="R4" i="10" s="1"/>
  <c r="C11" i="9"/>
  <c r="D11" i="9"/>
  <c r="Q26" i="10"/>
  <c r="R26" i="10"/>
  <c r="AK12" i="9"/>
  <c r="D27" i="9"/>
  <c r="C27" i="9"/>
  <c r="AJ12" i="8"/>
  <c r="R6" i="8"/>
  <c r="S9" i="8"/>
  <c r="R9" i="8"/>
  <c r="AJ14" i="8"/>
  <c r="S8" i="8"/>
  <c r="D32" i="9"/>
  <c r="D16" i="9"/>
  <c r="D26" i="9"/>
  <c r="C26" i="9"/>
  <c r="AK4" i="9"/>
  <c r="AJ21" i="9"/>
  <c r="S7" i="9"/>
  <c r="R5" i="9"/>
  <c r="AJ5" i="8"/>
  <c r="D19" i="9"/>
  <c r="C19" i="9"/>
  <c r="M20" i="10"/>
  <c r="L20" i="10"/>
  <c r="T20" i="10"/>
  <c r="M18" i="10"/>
  <c r="T18" i="10"/>
  <c r="L18" i="10"/>
  <c r="Q17" i="10"/>
  <c r="R17" i="10"/>
  <c r="C36" i="9"/>
  <c r="D36" i="9"/>
  <c r="D23" i="9"/>
  <c r="C23" i="9"/>
  <c r="R4" i="9"/>
  <c r="AK17" i="9"/>
  <c r="AJ18" i="8"/>
  <c r="AL18" i="8" s="1"/>
  <c r="R7" i="8"/>
  <c r="AJ17" i="8"/>
  <c r="L6" i="10"/>
  <c r="M6" i="10" s="1"/>
  <c r="T6" i="10"/>
  <c r="C12" i="9"/>
  <c r="D12" i="9"/>
  <c r="C7" i="9"/>
  <c r="D7" i="9"/>
  <c r="AK16" i="9"/>
  <c r="AK6" i="9"/>
  <c r="AJ10" i="8"/>
  <c r="Q8" i="10"/>
  <c r="R8" i="10" s="1"/>
  <c r="L23" i="10"/>
  <c r="M23" i="10"/>
  <c r="T23" i="10"/>
  <c r="C9" i="9"/>
  <c r="D9" i="9"/>
  <c r="C20" i="8"/>
  <c r="AK14" i="9"/>
  <c r="AK12" i="8"/>
  <c r="S5" i="8"/>
  <c r="D25" i="9"/>
  <c r="C25" i="9"/>
  <c r="Q6" i="10"/>
  <c r="R6" i="10" s="1"/>
  <c r="C28" i="9"/>
  <c r="D28" i="9"/>
  <c r="C15" i="9"/>
  <c r="D15" i="9"/>
  <c r="AK9" i="9"/>
  <c r="AJ19" i="8"/>
  <c r="AL19" i="8" s="1"/>
  <c r="M29" i="10"/>
  <c r="T29" i="10"/>
  <c r="L29" i="10"/>
  <c r="Q9" i="10"/>
  <c r="R9" i="10" s="1"/>
  <c r="Q18" i="10"/>
  <c r="R18" i="10"/>
  <c r="C17" i="9"/>
  <c r="D17" i="9"/>
  <c r="AK20" i="9"/>
  <c r="AL20" i="9" s="1"/>
  <c r="AK5" i="9"/>
  <c r="AJ5" i="9"/>
  <c r="C8" i="9"/>
  <c r="D8" i="9"/>
  <c r="AJ7" i="9"/>
  <c r="AV9" i="8"/>
  <c r="AW9" i="8" s="1"/>
  <c r="AV40" i="8"/>
  <c r="AW40" i="8" s="1"/>
  <c r="AV15" i="8"/>
  <c r="AW15" i="8" s="1"/>
  <c r="AV30" i="8"/>
  <c r="AW30" i="8" s="1"/>
  <c r="AV23" i="8"/>
  <c r="AW23" i="8" s="1"/>
  <c r="AV17" i="8"/>
  <c r="AW17" i="8" s="1"/>
  <c r="AV13" i="8"/>
  <c r="AW13" i="8" s="1"/>
  <c r="AV21" i="8"/>
  <c r="AW21" i="8" s="1"/>
  <c r="AV36" i="8"/>
  <c r="AW36" i="8" s="1"/>
  <c r="AV4" i="8"/>
  <c r="AW4" i="8" s="1"/>
  <c r="AV19" i="8"/>
  <c r="AW19" i="8" s="1"/>
  <c r="AV12" i="8"/>
  <c r="AW12" i="8" s="1"/>
  <c r="AV6" i="8"/>
  <c r="AW6" i="8" s="1"/>
  <c r="AV10" i="8"/>
  <c r="AW10" i="8" s="1"/>
  <c r="AV33" i="8"/>
  <c r="AW33" i="8" s="1"/>
  <c r="AV7" i="8"/>
  <c r="AW7" i="8" s="1"/>
  <c r="AV5" i="8"/>
  <c r="AW5" i="8" s="1"/>
  <c r="AV8" i="8"/>
  <c r="AW8" i="8" s="1"/>
  <c r="AV27" i="8"/>
  <c r="AW27" i="8" s="1"/>
  <c r="AV37" i="8"/>
  <c r="AW37" i="8" s="1"/>
  <c r="AV28" i="8"/>
  <c r="AW28" i="8" s="1"/>
  <c r="AV29" i="8"/>
  <c r="AW29" i="8" s="1"/>
  <c r="AV24" i="8"/>
  <c r="AW24" i="8" s="1"/>
  <c r="AV26" i="8"/>
  <c r="AW26" i="8" s="1"/>
  <c r="AV38" i="8"/>
  <c r="AW38" i="8" s="1"/>
  <c r="AV35" i="8"/>
  <c r="AW35" i="8" s="1"/>
  <c r="AV31" i="8"/>
  <c r="AW31" i="8" s="1"/>
  <c r="AV11" i="8"/>
  <c r="AW11" i="8" s="1"/>
  <c r="AV14" i="8"/>
  <c r="AW14" i="8" s="1"/>
  <c r="AV32" i="8"/>
  <c r="AW32" i="8" s="1"/>
  <c r="AV20" i="8"/>
  <c r="AW20" i="8" s="1"/>
  <c r="AV34" i="8"/>
  <c r="AW34" i="8" s="1"/>
  <c r="AV16" i="8"/>
  <c r="AW16" i="8" s="1"/>
  <c r="AV22" i="8"/>
  <c r="AW22" i="8" s="1"/>
  <c r="AV18" i="8"/>
  <c r="AW18" i="8" s="1"/>
  <c r="AV25" i="8"/>
  <c r="AW25" i="8" s="1"/>
  <c r="AV39" i="8"/>
  <c r="AW39" i="8" s="1"/>
  <c r="M21" i="10"/>
  <c r="S21" i="10" s="1"/>
  <c r="W21" i="10" s="1"/>
  <c r="X21" i="10" s="1"/>
  <c r="T21" i="10"/>
  <c r="L21" i="10"/>
  <c r="C5" i="9"/>
  <c r="D5" i="9"/>
  <c r="C35" i="9"/>
  <c r="D35" i="9"/>
  <c r="D20" i="9"/>
  <c r="C20" i="9"/>
  <c r="AJ6" i="8"/>
  <c r="AK13" i="8"/>
  <c r="Q23" i="10"/>
  <c r="R23" i="10"/>
  <c r="T13" i="10"/>
  <c r="L13" i="10"/>
  <c r="M13" i="10" s="1"/>
  <c r="L11" i="10"/>
  <c r="M11" i="10" s="1"/>
  <c r="T11" i="10"/>
  <c r="D33" i="9"/>
  <c r="C33" i="9"/>
  <c r="L27" i="10"/>
  <c r="M27" i="10"/>
  <c r="S27" i="10" s="1"/>
  <c r="W27" i="10" s="1"/>
  <c r="X27" i="10" s="1"/>
  <c r="T27" i="10"/>
  <c r="C27" i="8"/>
  <c r="D21" i="9"/>
  <c r="S8" i="10" l="1"/>
  <c r="W8" i="10" s="1"/>
  <c r="X8" i="10" s="1"/>
  <c r="S5" i="10"/>
  <c r="W5" i="10" s="1"/>
  <c r="X5" i="10" s="1"/>
  <c r="T7" i="9"/>
  <c r="S12" i="10"/>
  <c r="W12" i="10" s="1"/>
  <c r="X12" i="10" s="1"/>
  <c r="S10" i="10"/>
  <c r="W10" i="10" s="1"/>
  <c r="X10" i="10" s="1"/>
  <c r="S4" i="10"/>
  <c r="W4" i="10" s="1"/>
  <c r="X4" i="10" s="1"/>
  <c r="S11" i="10"/>
  <c r="W11" i="10" s="1"/>
  <c r="X11" i="10" s="1"/>
  <c r="S24" i="10"/>
  <c r="W24" i="10" s="1"/>
  <c r="X24" i="10" s="1"/>
  <c r="S7" i="10"/>
  <c r="W7" i="10" s="1"/>
  <c r="X7" i="10" s="1"/>
  <c r="S29" i="10"/>
  <c r="W29" i="10" s="1"/>
  <c r="X29" i="10" s="1"/>
  <c r="AL5" i="8"/>
  <c r="S9" i="10"/>
  <c r="W9" i="10" s="1"/>
  <c r="X9" i="10" s="1"/>
  <c r="AL17" i="8"/>
  <c r="AL10" i="8"/>
  <c r="AB12" i="4"/>
  <c r="AD11" i="4"/>
  <c r="AE11" i="4" s="1"/>
  <c r="AC11" i="4"/>
  <c r="W12" i="4"/>
  <c r="Q12" i="4"/>
  <c r="R10" i="14" a="1"/>
  <c r="R10" i="14" s="1"/>
  <c r="AF41" i="7"/>
  <c r="R11" i="14" a="1"/>
  <c r="R11" i="14" s="1"/>
  <c r="R32" i="14" a="1"/>
  <c r="R32" i="14" s="1"/>
  <c r="R31" i="14" a="1"/>
  <c r="R31" i="14" s="1"/>
  <c r="AF45" i="7" a="1"/>
  <c r="AF45" i="7" s="1"/>
  <c r="R20" i="14" a="1"/>
  <c r="R20" i="14" s="1"/>
  <c r="R18" i="14" a="1"/>
  <c r="R18" i="14" s="1"/>
  <c r="R9" i="14" a="1"/>
  <c r="R9" i="14" s="1"/>
  <c r="R14" i="14" a="1"/>
  <c r="R14" i="14" s="1"/>
  <c r="AF49" i="7" a="1"/>
  <c r="AF49" i="7" s="1"/>
  <c r="R29" i="14" a="1"/>
  <c r="R29" i="14" s="1"/>
  <c r="R21" i="14" a="1"/>
  <c r="R21" i="14" s="1"/>
  <c r="R26" i="14" a="1"/>
  <c r="R26" i="14" s="1"/>
  <c r="R16" i="14" a="1"/>
  <c r="R16" i="14" s="1"/>
  <c r="R22" i="14" a="1"/>
  <c r="R22" i="14" s="1"/>
  <c r="AF46" i="7" a="1"/>
  <c r="AF46" i="7" s="1"/>
  <c r="R7" i="14" a="1"/>
  <c r="R7" i="14" s="1"/>
  <c r="R6" i="14" a="1"/>
  <c r="R6" i="14" s="1"/>
  <c r="R33" i="14" a="1"/>
  <c r="R33" i="14" s="1"/>
  <c r="R3" i="14" a="1"/>
  <c r="R3" i="14" s="1"/>
  <c r="AF42" i="7" a="1"/>
  <c r="AF42" i="7" s="1"/>
  <c r="R13" i="14" a="1"/>
  <c r="R13" i="14" s="1"/>
  <c r="R12" i="14" a="1"/>
  <c r="R12" i="14" s="1"/>
  <c r="R5" i="14" a="1"/>
  <c r="R5" i="14" s="1"/>
  <c r="R8" i="14" a="1"/>
  <c r="R8" i="14" s="1"/>
  <c r="AF47" i="7" a="1"/>
  <c r="AF47" i="7" s="1"/>
  <c r="R19" i="14" a="1"/>
  <c r="R19" i="14" s="1"/>
  <c r="R25" i="14" a="1"/>
  <c r="R25" i="14" s="1"/>
  <c r="R15" i="14" a="1"/>
  <c r="R15" i="14" s="1"/>
  <c r="AF44" i="7" a="1"/>
  <c r="AF44" i="7" s="1"/>
  <c r="R28" i="14" a="1"/>
  <c r="R28" i="14" s="1"/>
  <c r="R27" i="14" a="1"/>
  <c r="R27" i="14" s="1"/>
  <c r="R17" i="14" a="1"/>
  <c r="R17" i="14" s="1"/>
  <c r="R23" i="14" a="1"/>
  <c r="R23" i="14" s="1"/>
  <c r="AF43" i="7" a="1"/>
  <c r="AF43" i="7" s="1"/>
  <c r="R4" i="14" a="1"/>
  <c r="R4" i="14" s="1"/>
  <c r="R34" i="14" a="1"/>
  <c r="R34" i="14" s="1"/>
  <c r="R24" i="14" a="1"/>
  <c r="R24" i="14" s="1"/>
  <c r="R30" i="14" a="1"/>
  <c r="R30" i="14" s="1"/>
  <c r="AF48" i="7" a="1"/>
  <c r="AF48" i="7" s="1"/>
  <c r="AE49" i="7" a="1"/>
  <c r="AE49" i="7" s="1"/>
  <c r="AE47" i="7" a="1"/>
  <c r="AE47" i="7" s="1"/>
  <c r="AE46" i="7" a="1"/>
  <c r="AE46" i="7" s="1"/>
  <c r="AE41" i="7"/>
  <c r="AE44" i="7" a="1"/>
  <c r="AE44" i="7" s="1"/>
  <c r="AE45" i="7" a="1"/>
  <c r="AE45" i="7" s="1"/>
  <c r="AE48" i="7" a="1"/>
  <c r="AE48" i="7" s="1"/>
  <c r="AE42" i="7" a="1"/>
  <c r="AE42" i="7" s="1"/>
  <c r="AE43" i="7" a="1"/>
  <c r="AE43" i="7" s="1"/>
  <c r="T5" i="7"/>
  <c r="S49" i="7" a="1"/>
  <c r="S49" i="7" s="1"/>
  <c r="S48" i="7" a="1"/>
  <c r="S48" i="7" s="1"/>
  <c r="S44" i="7" a="1"/>
  <c r="S44" i="7" s="1"/>
  <c r="S46" i="7" a="1"/>
  <c r="S46" i="7" s="1"/>
  <c r="S41" i="7"/>
  <c r="S43" i="7" a="1"/>
  <c r="S43" i="7" s="1"/>
  <c r="S45" i="7" a="1"/>
  <c r="S45" i="7" s="1"/>
  <c r="S47" i="7" a="1"/>
  <c r="S47" i="7" s="1"/>
  <c r="S42" i="7" a="1"/>
  <c r="S42" i="7" s="1"/>
  <c r="T11" i="9"/>
  <c r="S25" i="10"/>
  <c r="W25" i="10" s="1"/>
  <c r="X25" i="10" s="1"/>
  <c r="AL4" i="9"/>
  <c r="AL16" i="9"/>
  <c r="AL11" i="8"/>
  <c r="AL7" i="8"/>
  <c r="AL10" i="9"/>
  <c r="AL9" i="8"/>
  <c r="S22" i="10"/>
  <c r="W22" i="10" s="1"/>
  <c r="X22" i="10" s="1"/>
  <c r="S19" i="10"/>
  <c r="W19" i="10" s="1"/>
  <c r="X19" i="10" s="1"/>
  <c r="AD23" i="13"/>
  <c r="AE23" i="13" s="1"/>
  <c r="AK23" i="13" s="1"/>
  <c r="AD7" i="13"/>
  <c r="AH7" i="13" s="1"/>
  <c r="AD8" i="13"/>
  <c r="AH8" i="13" s="1"/>
  <c r="AI8" i="13" s="1" a="1"/>
  <c r="AI8" i="13" s="1"/>
  <c r="AD4" i="13"/>
  <c r="AF4" i="13" s="1"/>
  <c r="AG4" i="13" s="1" a="1"/>
  <c r="AG4" i="13" s="1"/>
  <c r="AD5" i="13"/>
  <c r="AE5" i="13" s="1"/>
  <c r="AJ5" i="13" s="1"/>
  <c r="AD21" i="13"/>
  <c r="AH21" i="13" s="1"/>
  <c r="S13" i="10"/>
  <c r="W13" i="10" s="1"/>
  <c r="X13" i="10" s="1"/>
  <c r="AD27" i="13"/>
  <c r="AH27" i="13" s="1"/>
  <c r="AI27" i="13" s="1" a="1"/>
  <c r="AI27" i="13" s="1"/>
  <c r="AD10" i="13"/>
  <c r="AF10" i="13" s="1"/>
  <c r="AD19" i="13"/>
  <c r="AD24" i="13"/>
  <c r="AD6" i="13"/>
  <c r="AF6" i="13" s="1"/>
  <c r="AD25" i="13"/>
  <c r="AD16" i="13"/>
  <c r="AF16" i="13" s="1"/>
  <c r="AG16" i="13" s="1" a="1"/>
  <c r="AG16" i="13" s="1"/>
  <c r="AD15" i="13"/>
  <c r="AD14" i="13"/>
  <c r="AD9" i="13"/>
  <c r="AD20" i="13"/>
  <c r="AD29" i="13"/>
  <c r="AD22" i="13"/>
  <c r="AD28" i="13"/>
  <c r="AD11" i="13"/>
  <c r="AF11" i="13" s="1"/>
  <c r="AD12" i="13"/>
  <c r="AD17" i="13"/>
  <c r="AD18" i="13"/>
  <c r="AD13" i="13"/>
  <c r="AD26" i="13"/>
  <c r="T6" i="9"/>
  <c r="T17" i="9"/>
  <c r="S20" i="10"/>
  <c r="W20" i="10" s="1"/>
  <c r="X20" i="10" s="1"/>
  <c r="T20" i="9"/>
  <c r="T21" i="8"/>
  <c r="AL14" i="9"/>
  <c r="T6" i="8"/>
  <c r="AL15" i="9"/>
  <c r="T15" i="9"/>
  <c r="AL4" i="8"/>
  <c r="T21" i="9"/>
  <c r="U22" i="8"/>
  <c r="T22" i="8"/>
  <c r="U21" i="8"/>
  <c r="T20" i="8"/>
  <c r="T16" i="9"/>
  <c r="U20" i="8"/>
  <c r="T7" i="8"/>
  <c r="AL12" i="9"/>
  <c r="AL15" i="8"/>
  <c r="AL14" i="8"/>
  <c r="AL6" i="9"/>
  <c r="T12" i="8"/>
  <c r="AL8" i="8"/>
  <c r="T18" i="9"/>
  <c r="T19" i="8"/>
  <c r="T18" i="8"/>
  <c r="U18" i="8"/>
  <c r="AL8" i="9"/>
  <c r="T10" i="8"/>
  <c r="U19" i="8"/>
  <c r="AL6" i="8"/>
  <c r="AL16" i="8"/>
  <c r="T17" i="8"/>
  <c r="T8" i="9"/>
  <c r="AL23" i="9"/>
  <c r="AL23" i="8"/>
  <c r="AL13" i="9"/>
  <c r="AL22" i="8"/>
  <c r="AM22" i="8" s="1"/>
  <c r="T10" i="9"/>
  <c r="AL25" i="9"/>
  <c r="AM25" i="9"/>
  <c r="AM23" i="9"/>
  <c r="U5" i="8"/>
  <c r="T4" i="8"/>
  <c r="AL24" i="9"/>
  <c r="AM24" i="9"/>
  <c r="T4" i="9"/>
  <c r="T9" i="9"/>
  <c r="T13" i="8"/>
  <c r="AL11" i="9"/>
  <c r="T14" i="9"/>
  <c r="T12" i="9"/>
  <c r="T5" i="9"/>
  <c r="T16" i="8"/>
  <c r="T15" i="8"/>
  <c r="S18" i="10"/>
  <c r="W18" i="10" s="1"/>
  <c r="X18" i="10" s="1"/>
  <c r="T11" i="8"/>
  <c r="AZ39" i="8" a="1"/>
  <c r="AZ39" i="8" s="1"/>
  <c r="BA39" i="8" s="1"/>
  <c r="AX39" i="8"/>
  <c r="AY39" i="8" s="1"/>
  <c r="AX16" i="8"/>
  <c r="AY16" i="8" s="1"/>
  <c r="AZ16" i="8" a="1"/>
  <c r="AZ16" i="8" s="1"/>
  <c r="BA16" i="8" s="1"/>
  <c r="AX14" i="8"/>
  <c r="AY14" i="8" s="1"/>
  <c r="AZ14" i="8" a="1"/>
  <c r="AZ14" i="8" s="1"/>
  <c r="BA14" i="8" s="1"/>
  <c r="AX38" i="8"/>
  <c r="AY38" i="8" s="1"/>
  <c r="AZ38" i="8" a="1"/>
  <c r="AZ38" i="8" s="1"/>
  <c r="BA38" i="8" s="1"/>
  <c r="AZ28" i="8" a="1"/>
  <c r="AZ28" i="8" s="1"/>
  <c r="BA28" i="8" s="1"/>
  <c r="AX28" i="8"/>
  <c r="AY28" i="8" s="1"/>
  <c r="AZ5" i="8" a="1"/>
  <c r="AZ5" i="8" s="1"/>
  <c r="BA5" i="8" s="1"/>
  <c r="AX5" i="8"/>
  <c r="AY5" i="8" s="1"/>
  <c r="AX6" i="8"/>
  <c r="AY6" i="8" s="1"/>
  <c r="AZ6" i="8" a="1"/>
  <c r="AZ6" i="8" s="1"/>
  <c r="BA6" i="8" s="1"/>
  <c r="AX36" i="8"/>
  <c r="AY36" i="8" s="1"/>
  <c r="AZ36" i="8" a="1"/>
  <c r="AZ36" i="8" s="1"/>
  <c r="BA36" i="8" s="1"/>
  <c r="AX23" i="8"/>
  <c r="AY23" i="8" s="1"/>
  <c r="AZ23" i="8" a="1"/>
  <c r="AZ23" i="8" s="1"/>
  <c r="BA23" i="8" s="1"/>
  <c r="AX9" i="8"/>
  <c r="AY9" i="8" s="1"/>
  <c r="AZ9" i="8" a="1"/>
  <c r="AZ9" i="8" s="1"/>
  <c r="BA9" i="8" s="1"/>
  <c r="AM5" i="9"/>
  <c r="AL5" i="9"/>
  <c r="AM4" i="9"/>
  <c r="S23" i="10"/>
  <c r="W23" i="10" s="1"/>
  <c r="X23" i="10" s="1"/>
  <c r="S6" i="10"/>
  <c r="W6" i="10" s="1"/>
  <c r="X6" i="10" s="1"/>
  <c r="U8" i="8"/>
  <c r="AL13" i="8"/>
  <c r="AM19" i="9"/>
  <c r="AL19" i="9"/>
  <c r="AO35" i="9"/>
  <c r="AP35" i="9" s="1"/>
  <c r="AO10" i="9"/>
  <c r="AP10" i="9" s="1"/>
  <c r="AO20" i="9"/>
  <c r="AP20" i="9" s="1"/>
  <c r="AO37" i="9"/>
  <c r="AP37" i="9" s="1"/>
  <c r="AO12" i="9"/>
  <c r="AP12" i="9" s="1"/>
  <c r="AO26" i="9"/>
  <c r="AP26" i="9" s="1"/>
  <c r="AO15" i="9"/>
  <c r="AP15" i="9" s="1"/>
  <c r="AO16" i="9"/>
  <c r="AP16" i="9" s="1"/>
  <c r="AO14" i="9"/>
  <c r="AP14" i="9" s="1"/>
  <c r="AW16" i="9"/>
  <c r="AX16" i="9" s="1"/>
  <c r="AW18" i="9"/>
  <c r="AX18" i="9" s="1"/>
  <c r="AW13" i="9"/>
  <c r="AX13" i="9" s="1"/>
  <c r="AW17" i="9"/>
  <c r="AX17" i="9" s="1"/>
  <c r="AW23" i="9"/>
  <c r="AX23" i="9" s="1"/>
  <c r="AW4" i="9"/>
  <c r="AX4" i="9" s="1"/>
  <c r="AW12" i="9"/>
  <c r="AX12" i="9" s="1"/>
  <c r="AW7" i="9"/>
  <c r="AX7" i="9" s="1"/>
  <c r="AW31" i="9"/>
  <c r="AX31" i="9" s="1"/>
  <c r="AW38" i="9"/>
  <c r="AX38" i="9" s="1"/>
  <c r="AW21" i="9"/>
  <c r="AX21" i="9" s="1"/>
  <c r="AW26" i="9"/>
  <c r="AX26" i="9" s="1"/>
  <c r="AW24" i="9"/>
  <c r="AX24" i="9" s="1"/>
  <c r="AW10" i="9"/>
  <c r="AX10" i="9" s="1"/>
  <c r="AW39" i="9"/>
  <c r="AX39" i="9" s="1"/>
  <c r="AW34" i="9"/>
  <c r="AX34" i="9" s="1"/>
  <c r="AW8" i="9"/>
  <c r="AX8" i="9" s="1"/>
  <c r="AW15" i="9"/>
  <c r="AX15" i="9" s="1"/>
  <c r="AW20" i="9"/>
  <c r="AX20" i="9" s="1"/>
  <c r="AW28" i="9"/>
  <c r="AX28" i="9" s="1"/>
  <c r="AW11" i="9"/>
  <c r="AX11" i="9" s="1"/>
  <c r="AW30" i="9"/>
  <c r="AX30" i="9" s="1"/>
  <c r="AW27" i="9"/>
  <c r="AX27" i="9" s="1"/>
  <c r="AW29" i="9"/>
  <c r="AX29" i="9" s="1"/>
  <c r="AW33" i="9"/>
  <c r="AX33" i="9" s="1"/>
  <c r="AW35" i="9"/>
  <c r="AX35" i="9" s="1"/>
  <c r="AW19" i="9"/>
  <c r="AX19" i="9" s="1"/>
  <c r="AW25" i="9"/>
  <c r="AX25" i="9" s="1"/>
  <c r="AW9" i="9"/>
  <c r="AX9" i="9" s="1"/>
  <c r="AW40" i="9"/>
  <c r="AX40" i="9" s="1"/>
  <c r="AW22" i="9"/>
  <c r="AX22" i="9" s="1"/>
  <c r="AW5" i="9"/>
  <c r="AX5" i="9" s="1"/>
  <c r="AW32" i="9"/>
  <c r="AX32" i="9" s="1"/>
  <c r="AW6" i="9"/>
  <c r="AX6" i="9" s="1"/>
  <c r="AW36" i="9"/>
  <c r="AX36" i="9" s="1"/>
  <c r="AW14" i="9"/>
  <c r="AX14" i="9" s="1"/>
  <c r="AW37" i="9"/>
  <c r="AX37" i="9" s="1"/>
  <c r="T13" i="9"/>
  <c r="S17" i="10"/>
  <c r="W17" i="10" s="1"/>
  <c r="X17" i="10" s="1"/>
  <c r="U15" i="8"/>
  <c r="U17" i="8"/>
  <c r="AM14" i="9"/>
  <c r="AM13" i="9"/>
  <c r="AM8" i="9"/>
  <c r="AM22" i="9"/>
  <c r="AZ25" i="8" a="1"/>
  <c r="AZ25" i="8" s="1"/>
  <c r="BA25" i="8" s="1"/>
  <c r="AX25" i="8"/>
  <c r="AY25" i="8" s="1"/>
  <c r="AX34" i="8"/>
  <c r="AY34" i="8" s="1"/>
  <c r="AZ34" i="8" a="1"/>
  <c r="AZ34" i="8" s="1"/>
  <c r="BA34" i="8" s="1"/>
  <c r="AZ11" i="8" a="1"/>
  <c r="AZ11" i="8" s="1"/>
  <c r="BA11" i="8" s="1"/>
  <c r="AX11" i="8"/>
  <c r="AY11" i="8" s="1"/>
  <c r="AX26" i="8"/>
  <c r="AY26" i="8" s="1"/>
  <c r="AZ26" i="8" a="1"/>
  <c r="AZ26" i="8" s="1"/>
  <c r="BA26" i="8" s="1"/>
  <c r="AX37" i="8"/>
  <c r="AY37" i="8" s="1"/>
  <c r="AZ37" i="8" a="1"/>
  <c r="AZ37" i="8" s="1"/>
  <c r="BA37" i="8" s="1"/>
  <c r="AZ7" i="8" a="1"/>
  <c r="AZ7" i="8" s="1"/>
  <c r="BA7" i="8" s="1"/>
  <c r="AX7" i="8"/>
  <c r="AY7" i="8" s="1"/>
  <c r="AZ12" i="8" a="1"/>
  <c r="AZ12" i="8" s="1"/>
  <c r="BA12" i="8" s="1"/>
  <c r="AX12" i="8"/>
  <c r="AY12" i="8" s="1"/>
  <c r="AZ21" i="8" a="1"/>
  <c r="AZ21" i="8" s="1"/>
  <c r="BA21" i="8" s="1"/>
  <c r="AX21" i="8"/>
  <c r="AY21" i="8" s="1"/>
  <c r="AZ30" i="8" a="1"/>
  <c r="AZ30" i="8" s="1"/>
  <c r="BA30" i="8" s="1"/>
  <c r="AX30" i="8"/>
  <c r="AY30" i="8" s="1"/>
  <c r="AL7" i="9"/>
  <c r="AM7" i="9"/>
  <c r="U10" i="8"/>
  <c r="AL21" i="9"/>
  <c r="AM21" i="9"/>
  <c r="AL12" i="8"/>
  <c r="AM25" i="8" s="1"/>
  <c r="S26" i="10"/>
  <c r="W26" i="10" s="1"/>
  <c r="X26" i="10" s="1"/>
  <c r="AM17" i="9"/>
  <c r="AL17" i="9"/>
  <c r="AM9" i="9"/>
  <c r="AL9" i="9"/>
  <c r="AO38" i="9"/>
  <c r="AP38" i="9" s="1"/>
  <c r="AO18" i="9"/>
  <c r="AP18" i="9" s="1"/>
  <c r="AO17" i="9"/>
  <c r="AP17" i="9" s="1"/>
  <c r="AO4" i="9"/>
  <c r="AP4" i="9" s="1"/>
  <c r="AO6" i="9"/>
  <c r="AP6" i="9" s="1"/>
  <c r="AO39" i="9"/>
  <c r="AP39" i="9" s="1"/>
  <c r="AO9" i="9"/>
  <c r="AP9" i="9" s="1"/>
  <c r="AO23" i="9"/>
  <c r="AP23" i="9" s="1"/>
  <c r="AO25" i="9"/>
  <c r="AP25" i="9" s="1"/>
  <c r="AM16" i="9"/>
  <c r="U6" i="8"/>
  <c r="U7" i="8"/>
  <c r="AM6" i="9"/>
  <c r="U13" i="8"/>
  <c r="AM20" i="9"/>
  <c r="AX18" i="8"/>
  <c r="AY18" i="8" s="1"/>
  <c r="AZ18" i="8" a="1"/>
  <c r="AZ18" i="8" s="1"/>
  <c r="BA18" i="8" s="1"/>
  <c r="AX20" i="8"/>
  <c r="AY20" i="8" s="1"/>
  <c r="AZ20" i="8" a="1"/>
  <c r="AZ20" i="8" s="1"/>
  <c r="BA20" i="8" s="1"/>
  <c r="AX31" i="8"/>
  <c r="AY31" i="8" s="1"/>
  <c r="AZ31" i="8" a="1"/>
  <c r="AZ31" i="8" s="1"/>
  <c r="BA31" i="8" s="1"/>
  <c r="AZ24" i="8" a="1"/>
  <c r="AZ24" i="8" s="1"/>
  <c r="BA24" i="8" s="1"/>
  <c r="AX24" i="8"/>
  <c r="AY24" i="8" s="1"/>
  <c r="AX27" i="8"/>
  <c r="AY27" i="8" s="1"/>
  <c r="AZ27" i="8" a="1"/>
  <c r="AZ27" i="8" s="1"/>
  <c r="BA27" i="8" s="1"/>
  <c r="AZ33" i="8" a="1"/>
  <c r="AZ33" i="8" s="1"/>
  <c r="BA33" i="8" s="1"/>
  <c r="AX33" i="8"/>
  <c r="AY33" i="8" s="1"/>
  <c r="AX19" i="8"/>
  <c r="AY19" i="8" s="1"/>
  <c r="AZ19" i="8" a="1"/>
  <c r="AZ19" i="8" s="1"/>
  <c r="BA19" i="8" s="1"/>
  <c r="AZ13" i="8" a="1"/>
  <c r="AZ13" i="8" s="1"/>
  <c r="BA13" i="8" s="1"/>
  <c r="AX13" i="8"/>
  <c r="AY13" i="8" s="1"/>
  <c r="AZ15" i="8" a="1"/>
  <c r="AZ15" i="8" s="1"/>
  <c r="BA15" i="8" s="1"/>
  <c r="AX15" i="8"/>
  <c r="AY15" i="8" s="1"/>
  <c r="T9" i="8"/>
  <c r="AO29" i="9"/>
  <c r="AP29" i="9" s="1"/>
  <c r="AO21" i="9"/>
  <c r="AP21" i="9" s="1"/>
  <c r="AO31" i="9"/>
  <c r="AP31" i="9" s="1"/>
  <c r="AO28" i="9"/>
  <c r="AP28" i="9" s="1"/>
  <c r="AO36" i="9"/>
  <c r="AP36" i="9" s="1"/>
  <c r="AO13" i="9"/>
  <c r="AP13" i="9" s="1"/>
  <c r="AO24" i="9"/>
  <c r="AP24" i="9" s="1"/>
  <c r="AO5" i="9"/>
  <c r="AP5" i="9" s="1"/>
  <c r="AO32" i="9"/>
  <c r="AP32" i="9" s="1"/>
  <c r="AO22" i="9"/>
  <c r="AP22" i="9" s="1"/>
  <c r="AL18" i="9"/>
  <c r="AM18" i="9"/>
  <c r="AM10" i="9"/>
  <c r="AM11" i="9"/>
  <c r="T8" i="8"/>
  <c r="U16" i="8"/>
  <c r="AM12" i="9"/>
  <c r="U12" i="8"/>
  <c r="U11" i="8"/>
  <c r="AZ22" i="8" a="1"/>
  <c r="AZ22" i="8" s="1"/>
  <c r="BA22" i="8" s="1"/>
  <c r="AX22" i="8"/>
  <c r="AY22" i="8" s="1"/>
  <c r="AZ32" i="8" a="1"/>
  <c r="AZ32" i="8" s="1"/>
  <c r="BA32" i="8" s="1"/>
  <c r="AX32" i="8"/>
  <c r="AY32" i="8" s="1"/>
  <c r="AZ35" i="8" a="1"/>
  <c r="AZ35" i="8" s="1"/>
  <c r="BA35" i="8" s="1"/>
  <c r="AX35" i="8"/>
  <c r="AY35" i="8" s="1"/>
  <c r="AX29" i="8"/>
  <c r="AY29" i="8" s="1"/>
  <c r="AZ29" i="8" a="1"/>
  <c r="AZ29" i="8" s="1"/>
  <c r="BA29" i="8" s="1"/>
  <c r="AZ8" i="8" a="1"/>
  <c r="AZ8" i="8" s="1"/>
  <c r="BA8" i="8" s="1"/>
  <c r="AX8" i="8"/>
  <c r="AY8" i="8" s="1"/>
  <c r="AX10" i="8"/>
  <c r="AY10" i="8" s="1"/>
  <c r="AZ10" i="8" a="1"/>
  <c r="AZ10" i="8" s="1"/>
  <c r="BA10" i="8" s="1"/>
  <c r="AX4" i="8"/>
  <c r="AY4" i="8" s="1"/>
  <c r="AZ4" i="8" a="1"/>
  <c r="AZ4" i="8" s="1"/>
  <c r="BA4" i="8" s="1"/>
  <c r="AX17" i="8"/>
  <c r="AY17" i="8" s="1"/>
  <c r="AZ17" i="8" a="1"/>
  <c r="AZ17" i="8" s="1"/>
  <c r="BA17" i="8" s="1"/>
  <c r="AZ40" i="8" a="1"/>
  <c r="AZ40" i="8" s="1"/>
  <c r="BA40" i="8" s="1"/>
  <c r="AX40" i="8"/>
  <c r="AY40" i="8" s="1"/>
  <c r="U9" i="8"/>
  <c r="AO30" i="9"/>
  <c r="AP30" i="9" s="1"/>
  <c r="AO19" i="9"/>
  <c r="AP19" i="9" s="1"/>
  <c r="AO33" i="9"/>
  <c r="AP33" i="9" s="1"/>
  <c r="AO40" i="9"/>
  <c r="AP40" i="9" s="1"/>
  <c r="AO27" i="9"/>
  <c r="AP27" i="9" s="1"/>
  <c r="AO7" i="9"/>
  <c r="AP7" i="9" s="1"/>
  <c r="AO8" i="9"/>
  <c r="AP8" i="9" s="1"/>
  <c r="AO11" i="9"/>
  <c r="AP11" i="9" s="1"/>
  <c r="AO34" i="9"/>
  <c r="AP34" i="9" s="1"/>
  <c r="T5" i="8"/>
  <c r="U4" i="8"/>
  <c r="U14" i="8"/>
  <c r="AM15" i="9"/>
  <c r="Y6" i="10" l="1"/>
  <c r="Y5" i="10"/>
  <c r="Y4" i="10"/>
  <c r="AB13" i="4"/>
  <c r="AD12" i="4"/>
  <c r="AE12" i="4" s="1"/>
  <c r="AC12" i="4"/>
  <c r="W13" i="4"/>
  <c r="Q13" i="4"/>
  <c r="R41" i="14" a="1"/>
  <c r="R41" i="14" s="1"/>
  <c r="R47" i="14" a="1"/>
  <c r="R47" i="14" s="1"/>
  <c r="R40" i="14"/>
  <c r="R45" i="14" a="1"/>
  <c r="R45" i="14" s="1"/>
  <c r="R48" i="14" a="1"/>
  <c r="R48" i="14" s="1"/>
  <c r="R46" i="14" a="1"/>
  <c r="R46" i="14" s="1"/>
  <c r="R43" i="14" a="1"/>
  <c r="R43" i="14" s="1"/>
  <c r="R44" i="14" a="1"/>
  <c r="R44" i="14" s="1"/>
  <c r="R42" i="14" a="1"/>
  <c r="R42" i="14" s="1"/>
  <c r="Q6" i="14" a="1"/>
  <c r="Q6" i="14" s="1"/>
  <c r="Q15" i="14" a="1"/>
  <c r="Q15" i="14" s="1"/>
  <c r="Q31" i="14" a="1"/>
  <c r="Q31" i="14" s="1"/>
  <c r="Q16" i="14" a="1"/>
  <c r="Q16" i="14" s="1"/>
  <c r="Q3" i="14" a="1"/>
  <c r="Q3" i="14" s="1"/>
  <c r="T43" i="7" a="1"/>
  <c r="T43" i="7" s="1"/>
  <c r="Q34" i="14" a="1"/>
  <c r="Q34" i="14" s="1"/>
  <c r="Q25" i="14" a="1"/>
  <c r="Q25" i="14" s="1"/>
  <c r="Q18" i="14" a="1"/>
  <c r="Q18" i="14" s="1"/>
  <c r="T41" i="7"/>
  <c r="T49" i="7" a="1"/>
  <c r="T49" i="7" s="1"/>
  <c r="Q4" i="14" a="1"/>
  <c r="Q4" i="14" s="1"/>
  <c r="Q12" i="14" a="1"/>
  <c r="Q12" i="14" s="1"/>
  <c r="Q9" i="14" a="1"/>
  <c r="Q9" i="14" s="1"/>
  <c r="Q32" i="14" a="1"/>
  <c r="Q32" i="14" s="1"/>
  <c r="Q8" i="14" a="1"/>
  <c r="Q8" i="14" s="1"/>
  <c r="Q19" i="14" a="1"/>
  <c r="Q19" i="14" s="1"/>
  <c r="Q20" i="14" a="1"/>
  <c r="Q20" i="14" s="1"/>
  <c r="T47" i="7" a="1"/>
  <c r="T47" i="7" s="1"/>
  <c r="Q5" i="14" a="1"/>
  <c r="Q5" i="14" s="1"/>
  <c r="Q13" i="14" a="1"/>
  <c r="Q13" i="14" s="1"/>
  <c r="Q29" i="14" a="1"/>
  <c r="Q29" i="14" s="1"/>
  <c r="Q22" i="14" a="1"/>
  <c r="Q22" i="14" s="1"/>
  <c r="T48" i="7" a="1"/>
  <c r="T48" i="7" s="1"/>
  <c r="Q27" i="14" a="1"/>
  <c r="Q27" i="14" s="1"/>
  <c r="T42" i="7" a="1"/>
  <c r="T42" i="7" s="1"/>
  <c r="Q14" i="14" a="1"/>
  <c r="Q14" i="14" s="1"/>
  <c r="Q10" i="14" a="1"/>
  <c r="Q10" i="14" s="1"/>
  <c r="Q23" i="14" a="1"/>
  <c r="Q23" i="14" s="1"/>
  <c r="Q30" i="14" a="1"/>
  <c r="Q30" i="14" s="1"/>
  <c r="Q24" i="14" a="1"/>
  <c r="Q24" i="14" s="1"/>
  <c r="T45" i="7" a="1"/>
  <c r="T45" i="7" s="1"/>
  <c r="Q7" i="14" a="1"/>
  <c r="Q7" i="14" s="1"/>
  <c r="Q17" i="14" a="1"/>
  <c r="Q17" i="14" s="1"/>
  <c r="Q33" i="14" a="1"/>
  <c r="Q33" i="14" s="1"/>
  <c r="Q26" i="14" a="1"/>
  <c r="Q26" i="14" s="1"/>
  <c r="T46" i="7" a="1"/>
  <c r="T46" i="7" s="1"/>
  <c r="Q11" i="14" a="1"/>
  <c r="Q11" i="14" s="1"/>
  <c r="Q28" i="14" a="1"/>
  <c r="Q28" i="14" s="1"/>
  <c r="Q21" i="14" a="1"/>
  <c r="Q21" i="14" s="1"/>
  <c r="T44" i="7" a="1"/>
  <c r="T44" i="7" s="1"/>
  <c r="B4" i="12"/>
  <c r="C4" i="12" s="1"/>
  <c r="AJ23" i="13"/>
  <c r="AH5" i="13"/>
  <c r="E7" i="12" s="1"/>
  <c r="F7" i="12" s="1"/>
  <c r="AF5" i="13"/>
  <c r="B7" i="12" s="1"/>
  <c r="E8" i="12" s="1"/>
  <c r="AH23" i="13"/>
  <c r="E61" i="12" s="1"/>
  <c r="F61" i="12" s="1"/>
  <c r="AF23" i="13"/>
  <c r="B61" i="12" s="1"/>
  <c r="E62" i="12" s="1"/>
  <c r="AH10" i="13"/>
  <c r="Y17" i="10"/>
  <c r="E73" i="12"/>
  <c r="J73" i="12" s="1"/>
  <c r="AE27" i="13"/>
  <c r="AH4" i="13"/>
  <c r="AK5" i="13"/>
  <c r="AE4" i="13"/>
  <c r="B40" i="12"/>
  <c r="E41" i="12" s="1"/>
  <c r="AH16" i="13"/>
  <c r="E16" i="12"/>
  <c r="B17" i="12" s="1"/>
  <c r="AE8" i="13"/>
  <c r="AE21" i="13"/>
  <c r="AF8" i="13"/>
  <c r="AI7" i="13" a="1"/>
  <c r="AI7" i="13" s="1"/>
  <c r="E13" i="12"/>
  <c r="F13" i="12" s="1"/>
  <c r="AE7" i="13"/>
  <c r="AF7" i="13"/>
  <c r="E55" i="12"/>
  <c r="F55" i="12" s="1"/>
  <c r="AI21" i="13" a="1"/>
  <c r="AI21" i="13" s="1"/>
  <c r="AF21" i="13"/>
  <c r="AH11" i="13"/>
  <c r="E25" i="12" s="1"/>
  <c r="AF27" i="13"/>
  <c r="AG10" i="13" a="1"/>
  <c r="AG10" i="13" s="1"/>
  <c r="B22" i="12"/>
  <c r="I22" i="12" s="1"/>
  <c r="Y16" i="10"/>
  <c r="AE11" i="13"/>
  <c r="AE16" i="13"/>
  <c r="AE10" i="13"/>
  <c r="B10" i="12"/>
  <c r="I10" i="12" s="1"/>
  <c r="AG6" i="13" a="1"/>
  <c r="AG6" i="13" s="1"/>
  <c r="AF18" i="13"/>
  <c r="AH18" i="13"/>
  <c r="AE18" i="13"/>
  <c r="AF28" i="13"/>
  <c r="AH28" i="13"/>
  <c r="AE28" i="13"/>
  <c r="AF9" i="13"/>
  <c r="AH9" i="13"/>
  <c r="AE9" i="13"/>
  <c r="AH19" i="13"/>
  <c r="AE19" i="13"/>
  <c r="AF19" i="13"/>
  <c r="AE17" i="13"/>
  <c r="AH17" i="13"/>
  <c r="AF17" i="13"/>
  <c r="AE22" i="13"/>
  <c r="AF22" i="13"/>
  <c r="AH22" i="13"/>
  <c r="AE25" i="13"/>
  <c r="AF25" i="13"/>
  <c r="AH25" i="13"/>
  <c r="AE26" i="13"/>
  <c r="AH26" i="13"/>
  <c r="AF26" i="13"/>
  <c r="AH12" i="13"/>
  <c r="AF12" i="13"/>
  <c r="AE12" i="13"/>
  <c r="AF29" i="13"/>
  <c r="AE29" i="13"/>
  <c r="AH29" i="13"/>
  <c r="AF14" i="13"/>
  <c r="AH14" i="13"/>
  <c r="AE14" i="13"/>
  <c r="AH6" i="13"/>
  <c r="AE6" i="13"/>
  <c r="AF13" i="13"/>
  <c r="AH13" i="13"/>
  <c r="AE13" i="13"/>
  <c r="B25" i="12"/>
  <c r="AG11" i="13" a="1"/>
  <c r="AG11" i="13" s="1"/>
  <c r="AF20" i="13"/>
  <c r="AH20" i="13"/>
  <c r="AE20" i="13"/>
  <c r="AF15" i="13"/>
  <c r="AH15" i="13"/>
  <c r="AE15" i="13"/>
  <c r="AH24" i="13"/>
  <c r="AE24" i="13"/>
  <c r="AF24" i="13"/>
  <c r="Y11" i="10"/>
  <c r="Y15" i="10"/>
  <c r="Y8" i="10"/>
  <c r="Y13" i="10"/>
  <c r="Y7" i="10"/>
  <c r="U22" i="9"/>
  <c r="Y18" i="10"/>
  <c r="Y21" i="10"/>
  <c r="U21" i="9"/>
  <c r="U20" i="9"/>
  <c r="AM6" i="8"/>
  <c r="U19" i="9"/>
  <c r="Y12" i="10"/>
  <c r="U8" i="9"/>
  <c r="U4" i="9"/>
  <c r="U17" i="9"/>
  <c r="AM11" i="8"/>
  <c r="AM15" i="8"/>
  <c r="U18" i="9"/>
  <c r="U16" i="9"/>
  <c r="Y20" i="10"/>
  <c r="AM8" i="8"/>
  <c r="AM17" i="8"/>
  <c r="U9" i="9"/>
  <c r="U11" i="9"/>
  <c r="U5" i="9"/>
  <c r="AM5" i="8"/>
  <c r="AM16" i="8"/>
  <c r="AM21" i="8"/>
  <c r="U10" i="9"/>
  <c r="Y22" i="10"/>
  <c r="Y25" i="10"/>
  <c r="Y24" i="10"/>
  <c r="Y26" i="10"/>
  <c r="Y19" i="10"/>
  <c r="AM12" i="8"/>
  <c r="U13" i="9"/>
  <c r="AM24" i="8"/>
  <c r="AM23" i="8"/>
  <c r="AM19" i="8"/>
  <c r="Y10" i="10"/>
  <c r="U15" i="9"/>
  <c r="AS7" i="9"/>
  <c r="AU7" i="9" s="1"/>
  <c r="AQ7" i="9"/>
  <c r="AR7" i="9" s="1"/>
  <c r="AQ19" i="9"/>
  <c r="AR19" i="9" s="1"/>
  <c r="AS19" i="9"/>
  <c r="AU19" i="9" s="1"/>
  <c r="AQ24" i="9"/>
  <c r="AR24" i="9" s="1"/>
  <c r="AS24" i="9"/>
  <c r="AU24" i="9" s="1"/>
  <c r="AS31" i="9"/>
  <c r="AU31" i="9" s="1"/>
  <c r="AQ31" i="9"/>
  <c r="AR31" i="9" s="1"/>
  <c r="Y28" i="10"/>
  <c r="AS23" i="9"/>
  <c r="AU23" i="9" s="1"/>
  <c r="AQ23" i="9"/>
  <c r="AR23" i="9" s="1"/>
  <c r="AQ4" i="9"/>
  <c r="AR4" i="9" s="1"/>
  <c r="AS4" i="9"/>
  <c r="AU4" i="9" s="1"/>
  <c r="AY37" i="9"/>
  <c r="AZ37" i="9" s="1"/>
  <c r="BA37" i="9"/>
  <c r="BB37" i="9" s="1"/>
  <c r="AY32" i="9"/>
  <c r="AZ32" i="9" s="1"/>
  <c r="BA32" i="9"/>
  <c r="BB32" i="9" s="1"/>
  <c r="AY9" i="9"/>
  <c r="AZ9" i="9" s="1"/>
  <c r="BA9" i="9"/>
  <c r="BB9" i="9" s="1"/>
  <c r="AY33" i="9"/>
  <c r="AZ33" i="9" s="1"/>
  <c r="BA33" i="9"/>
  <c r="BB33" i="9" s="1"/>
  <c r="BA11" i="9"/>
  <c r="BB11" i="9" s="1"/>
  <c r="AY11" i="9"/>
  <c r="AZ11" i="9" s="1"/>
  <c r="AY8" i="9"/>
  <c r="AZ8" i="9" s="1"/>
  <c r="BA8" i="9"/>
  <c r="BB8" i="9" s="1"/>
  <c r="AY24" i="9"/>
  <c r="AZ24" i="9" s="1"/>
  <c r="BA24" i="9"/>
  <c r="BB24" i="9" s="1"/>
  <c r="AY31" i="9"/>
  <c r="AZ31" i="9" s="1"/>
  <c r="BA31" i="9"/>
  <c r="BB31" i="9" s="1"/>
  <c r="AY23" i="9"/>
  <c r="AZ23" i="9" s="1"/>
  <c r="BA23" i="9"/>
  <c r="BB23" i="9" s="1"/>
  <c r="BA16" i="9"/>
  <c r="BB16" i="9" s="1"/>
  <c r="AY16" i="9"/>
  <c r="AZ16" i="9" s="1"/>
  <c r="AQ26" i="9"/>
  <c r="AR26" i="9" s="1"/>
  <c r="AS26" i="9"/>
  <c r="AU26" i="9" s="1"/>
  <c r="AQ10" i="9"/>
  <c r="AR10" i="9" s="1"/>
  <c r="AS10" i="9"/>
  <c r="AU10" i="9" s="1"/>
  <c r="AM13" i="8"/>
  <c r="Y29" i="10"/>
  <c r="Y9" i="10"/>
  <c r="AM7" i="8"/>
  <c r="AQ34" i="9"/>
  <c r="AR34" i="9" s="1"/>
  <c r="AS34" i="9"/>
  <c r="AU34" i="9" s="1"/>
  <c r="AQ27" i="9"/>
  <c r="AR27" i="9" s="1"/>
  <c r="AS27" i="9"/>
  <c r="AU27" i="9" s="1"/>
  <c r="AS30" i="9"/>
  <c r="AU30" i="9" s="1"/>
  <c r="AQ30" i="9"/>
  <c r="AR30" i="9" s="1"/>
  <c r="AS22" i="9"/>
  <c r="AU22" i="9" s="1"/>
  <c r="AQ22" i="9"/>
  <c r="AR22" i="9" s="1"/>
  <c r="AS13" i="9"/>
  <c r="AU13" i="9" s="1"/>
  <c r="AQ13" i="9"/>
  <c r="AR13" i="9" s="1"/>
  <c r="AQ21" i="9"/>
  <c r="AR21" i="9" s="1"/>
  <c r="AS21" i="9"/>
  <c r="AU21" i="9" s="1"/>
  <c r="AQ9" i="9"/>
  <c r="AR9" i="9" s="1"/>
  <c r="AS9" i="9"/>
  <c r="AU9" i="9" s="1"/>
  <c r="AQ17" i="9"/>
  <c r="AR17" i="9" s="1"/>
  <c r="AS17" i="9"/>
  <c r="AU17" i="9" s="1"/>
  <c r="U12" i="9"/>
  <c r="AY14" i="9"/>
  <c r="AZ14" i="9" s="1"/>
  <c r="BA14" i="9"/>
  <c r="BB14" i="9" s="1"/>
  <c r="AY5" i="9"/>
  <c r="AZ5" i="9" s="1"/>
  <c r="BA5" i="9"/>
  <c r="BB5" i="9" s="1"/>
  <c r="AY25" i="9"/>
  <c r="AZ25" i="9" s="1"/>
  <c r="BA25" i="9"/>
  <c r="BB25" i="9" s="1"/>
  <c r="BA29" i="9"/>
  <c r="BB29" i="9" s="1"/>
  <c r="AY29" i="9"/>
  <c r="AZ29" i="9" s="1"/>
  <c r="AY28" i="9"/>
  <c r="AZ28" i="9" s="1"/>
  <c r="BA28" i="9"/>
  <c r="BB28" i="9" s="1"/>
  <c r="BA34" i="9"/>
  <c r="BB34" i="9" s="1"/>
  <c r="AY34" i="9"/>
  <c r="AZ34" i="9" s="1"/>
  <c r="AY26" i="9"/>
  <c r="AZ26" i="9" s="1"/>
  <c r="BA26" i="9"/>
  <c r="BB26" i="9" s="1"/>
  <c r="BA7" i="9"/>
  <c r="BB7" i="9" s="1"/>
  <c r="AY7" i="9"/>
  <c r="AZ7" i="9" s="1"/>
  <c r="BA17" i="9"/>
  <c r="BB17" i="9" s="1"/>
  <c r="AY17" i="9"/>
  <c r="AZ17" i="9" s="1"/>
  <c r="AQ14" i="9"/>
  <c r="AR14" i="9" s="1"/>
  <c r="AS14" i="9"/>
  <c r="AU14" i="9" s="1"/>
  <c r="AS12" i="9"/>
  <c r="AU12" i="9" s="1"/>
  <c r="AQ12" i="9"/>
  <c r="AR12" i="9" s="1"/>
  <c r="AQ35" i="9"/>
  <c r="AR35" i="9" s="1"/>
  <c r="AS35" i="9"/>
  <c r="AU35" i="9" s="1"/>
  <c r="AM10" i="8"/>
  <c r="U6" i="9"/>
  <c r="AM4" i="8"/>
  <c r="AQ11" i="9"/>
  <c r="AR11" i="9" s="1"/>
  <c r="AS11" i="9"/>
  <c r="AU11" i="9" s="1"/>
  <c r="AQ40" i="9"/>
  <c r="AR40" i="9" s="1"/>
  <c r="AS40" i="9"/>
  <c r="AU40" i="9" s="1"/>
  <c r="AQ32" i="9"/>
  <c r="AR32" i="9" s="1"/>
  <c r="AS32" i="9"/>
  <c r="AU32" i="9" s="1"/>
  <c r="AQ36" i="9"/>
  <c r="AR36" i="9" s="1"/>
  <c r="AS36" i="9"/>
  <c r="AU36" i="9" s="1"/>
  <c r="AS29" i="9"/>
  <c r="AU29" i="9" s="1"/>
  <c r="AQ29" i="9"/>
  <c r="AR29" i="9" s="1"/>
  <c r="AS39" i="9"/>
  <c r="AU39" i="9" s="1"/>
  <c r="AQ39" i="9"/>
  <c r="AR39" i="9" s="1"/>
  <c r="AS18" i="9"/>
  <c r="AU18" i="9" s="1"/>
  <c r="AQ18" i="9"/>
  <c r="AR18" i="9" s="1"/>
  <c r="AM14" i="8"/>
  <c r="Y27" i="10"/>
  <c r="BA36" i="9"/>
  <c r="BB36" i="9" s="1"/>
  <c r="AY36" i="9"/>
  <c r="AZ36" i="9" s="1"/>
  <c r="AY22" i="9"/>
  <c r="AZ22" i="9" s="1"/>
  <c r="BA22" i="9"/>
  <c r="BB22" i="9" s="1"/>
  <c r="AY19" i="9"/>
  <c r="AZ19" i="9" s="1"/>
  <c r="BA19" i="9"/>
  <c r="BB19" i="9" s="1"/>
  <c r="BA27" i="9"/>
  <c r="BB27" i="9" s="1"/>
  <c r="AY27" i="9"/>
  <c r="AZ27" i="9" s="1"/>
  <c r="AY20" i="9"/>
  <c r="AZ20" i="9" s="1"/>
  <c r="BA20" i="9"/>
  <c r="BB20" i="9" s="1"/>
  <c r="BA39" i="9"/>
  <c r="BB39" i="9" s="1"/>
  <c r="AY39" i="9"/>
  <c r="AZ39" i="9" s="1"/>
  <c r="AY21" i="9"/>
  <c r="AZ21" i="9" s="1"/>
  <c r="BA21" i="9"/>
  <c r="BB21" i="9" s="1"/>
  <c r="AY12" i="9"/>
  <c r="AZ12" i="9" s="1"/>
  <c r="BA12" i="9"/>
  <c r="BB12" i="9" s="1"/>
  <c r="BA13" i="9"/>
  <c r="BB13" i="9" s="1"/>
  <c r="AY13" i="9"/>
  <c r="AZ13" i="9" s="1"/>
  <c r="AQ16" i="9"/>
  <c r="AR16" i="9" s="1"/>
  <c r="AS16" i="9"/>
  <c r="AU16" i="9" s="1"/>
  <c r="AS37" i="9"/>
  <c r="AU37" i="9" s="1"/>
  <c r="AQ37" i="9"/>
  <c r="AR37" i="9" s="1"/>
  <c r="U7" i="9"/>
  <c r="Y23" i="10"/>
  <c r="Y14" i="10"/>
  <c r="AM9" i="8"/>
  <c r="W21" i="8"/>
  <c r="X21" i="8" s="1"/>
  <c r="W33" i="8"/>
  <c r="X33" i="8" s="1"/>
  <c r="W16" i="8"/>
  <c r="X16" i="8" s="1"/>
  <c r="W10" i="8"/>
  <c r="X10" i="8" s="1"/>
  <c r="W37" i="8"/>
  <c r="X37" i="8" s="1"/>
  <c r="W30" i="8"/>
  <c r="X30" i="8" s="1"/>
  <c r="W14" i="8"/>
  <c r="X14" i="8" s="1"/>
  <c r="W7" i="8"/>
  <c r="X7" i="8" s="1"/>
  <c r="W28" i="8"/>
  <c r="X28" i="8" s="1"/>
  <c r="W5" i="8"/>
  <c r="X5" i="8" s="1"/>
  <c r="W38" i="8"/>
  <c r="X38" i="8" s="1"/>
  <c r="W9" i="8"/>
  <c r="X9" i="8" s="1"/>
  <c r="W18" i="8"/>
  <c r="X18" i="8" s="1"/>
  <c r="W39" i="8"/>
  <c r="X39" i="8" s="1"/>
  <c r="W17" i="8"/>
  <c r="X17" i="8" s="1"/>
  <c r="W4" i="8"/>
  <c r="X4" i="8" s="1"/>
  <c r="W40" i="8"/>
  <c r="X40" i="8" s="1"/>
  <c r="W22" i="8"/>
  <c r="X22" i="8" s="1"/>
  <c r="W26" i="8"/>
  <c r="X26" i="8" s="1"/>
  <c r="W27" i="8"/>
  <c r="X27" i="8" s="1"/>
  <c r="W20" i="8"/>
  <c r="X20" i="8" s="1"/>
  <c r="W11" i="8"/>
  <c r="X11" i="8" s="1"/>
  <c r="W24" i="8"/>
  <c r="X24" i="8" s="1"/>
  <c r="W25" i="8"/>
  <c r="X25" i="8" s="1"/>
  <c r="W13" i="8"/>
  <c r="X13" i="8" s="1"/>
  <c r="W15" i="8"/>
  <c r="X15" i="8" s="1"/>
  <c r="W23" i="8"/>
  <c r="X23" i="8" s="1"/>
  <c r="W29" i="8"/>
  <c r="X29" i="8" s="1"/>
  <c r="W6" i="8"/>
  <c r="X6" i="8" s="1"/>
  <c r="W19" i="8"/>
  <c r="X19" i="8" s="1"/>
  <c r="W31" i="8"/>
  <c r="X31" i="8" s="1"/>
  <c r="W34" i="8"/>
  <c r="X34" i="8" s="1"/>
  <c r="W36" i="8"/>
  <c r="X36" i="8" s="1"/>
  <c r="W32" i="8"/>
  <c r="X32" i="8" s="1"/>
  <c r="W12" i="8"/>
  <c r="X12" i="8" s="1"/>
  <c r="W8" i="8"/>
  <c r="X8" i="8" s="1"/>
  <c r="W35" i="8"/>
  <c r="X35" i="8" s="1"/>
  <c r="AQ8" i="9"/>
  <c r="AR8" i="9" s="1"/>
  <c r="AS8" i="9"/>
  <c r="AU8" i="9" s="1"/>
  <c r="AS33" i="9"/>
  <c r="AU33" i="9" s="1"/>
  <c r="AQ33" i="9"/>
  <c r="AR33" i="9" s="1"/>
  <c r="AS5" i="9"/>
  <c r="AU5" i="9" s="1"/>
  <c r="AQ5" i="9"/>
  <c r="AR5" i="9" s="1"/>
  <c r="AQ28" i="9"/>
  <c r="AR28" i="9" s="1"/>
  <c r="AS28" i="9"/>
  <c r="AU28" i="9" s="1"/>
  <c r="AS25" i="9"/>
  <c r="AU25" i="9" s="1"/>
  <c r="AQ25" i="9"/>
  <c r="AR25" i="9" s="1"/>
  <c r="AQ6" i="9"/>
  <c r="AR6" i="9" s="1"/>
  <c r="AS6" i="9"/>
  <c r="AU6" i="9" s="1"/>
  <c r="AQ38" i="9"/>
  <c r="AR38" i="9" s="1"/>
  <c r="AS38" i="9"/>
  <c r="AU38" i="9" s="1"/>
  <c r="BA6" i="9"/>
  <c r="BB6" i="9" s="1"/>
  <c r="AY6" i="9"/>
  <c r="AZ6" i="9" s="1"/>
  <c r="BA40" i="9"/>
  <c r="BB40" i="9" s="1"/>
  <c r="AY40" i="9"/>
  <c r="AZ40" i="9" s="1"/>
  <c r="BA35" i="9"/>
  <c r="BB35" i="9" s="1"/>
  <c r="AY35" i="9"/>
  <c r="AZ35" i="9" s="1"/>
  <c r="BA30" i="9"/>
  <c r="BB30" i="9" s="1"/>
  <c r="AY30" i="9"/>
  <c r="AZ30" i="9" s="1"/>
  <c r="BA15" i="9"/>
  <c r="BB15" i="9" s="1"/>
  <c r="AY15" i="9"/>
  <c r="AZ15" i="9" s="1"/>
  <c r="AY10" i="9"/>
  <c r="AZ10" i="9" s="1"/>
  <c r="BA10" i="9"/>
  <c r="BB10" i="9" s="1"/>
  <c r="BA38" i="9"/>
  <c r="BB38" i="9" s="1"/>
  <c r="AY38" i="9"/>
  <c r="AZ38" i="9" s="1"/>
  <c r="AY4" i="9"/>
  <c r="AZ4" i="9" s="1"/>
  <c r="BA4" i="9"/>
  <c r="BB4" i="9" s="1"/>
  <c r="BA18" i="9"/>
  <c r="BB18" i="9" s="1"/>
  <c r="AY18" i="9"/>
  <c r="AZ18" i="9" s="1"/>
  <c r="AQ15" i="9"/>
  <c r="AR15" i="9" s="1"/>
  <c r="AS15" i="9"/>
  <c r="AU15" i="9" s="1"/>
  <c r="AQ20" i="9"/>
  <c r="AR20" i="9" s="1"/>
  <c r="AS20" i="9"/>
  <c r="AU20" i="9" s="1"/>
  <c r="AM18" i="8"/>
  <c r="AM20" i="8"/>
  <c r="U14" i="9"/>
  <c r="AQ5" i="7"/>
  <c r="BC6" i="7"/>
  <c r="BD6" i="7"/>
  <c r="AP6" i="7"/>
  <c r="AQ7" i="7"/>
  <c r="BC7" i="7"/>
  <c r="BC10" i="7"/>
  <c r="BD7" i="7"/>
  <c r="AP5" i="7"/>
  <c r="AP7" i="7"/>
  <c r="AQ6" i="7"/>
  <c r="AB14" i="4" l="1"/>
  <c r="AD13" i="4"/>
  <c r="AE13" i="4" s="1"/>
  <c r="AC13" i="4"/>
  <c r="BE6" i="7"/>
  <c r="BF6" i="7" s="1"/>
  <c r="BE7" i="7"/>
  <c r="BF7" i="7" s="1"/>
  <c r="W14" i="4"/>
  <c r="AR7" i="7"/>
  <c r="AS7" i="7" s="1"/>
  <c r="AR5" i="7"/>
  <c r="AR6" i="7"/>
  <c r="AS6" i="7" s="1"/>
  <c r="Q14" i="4"/>
  <c r="I4" i="12"/>
  <c r="E5" i="12"/>
  <c r="F5" i="12" s="1"/>
  <c r="Q45" i="14" a="1"/>
  <c r="Q45" i="14" s="1"/>
  <c r="Q46" i="14" a="1"/>
  <c r="Q46" i="14" s="1"/>
  <c r="Q42" i="14" a="1"/>
  <c r="Q42" i="14" s="1"/>
  <c r="Q44" i="14" a="1"/>
  <c r="Q44" i="14" s="1"/>
  <c r="Q40" i="14"/>
  <c r="Q48" i="14" a="1"/>
  <c r="Q48" i="14" s="1"/>
  <c r="Q47" i="14" a="1"/>
  <c r="Q47" i="14" s="1"/>
  <c r="Q43" i="14" a="1"/>
  <c r="Q43" i="14" s="1"/>
  <c r="Q41" i="14" a="1"/>
  <c r="Q41" i="14" s="1"/>
  <c r="J7" i="12"/>
  <c r="B8" i="12"/>
  <c r="C8" i="12" s="1"/>
  <c r="B56" i="12"/>
  <c r="I56" i="12" s="1"/>
  <c r="J16" i="12"/>
  <c r="B62" i="12"/>
  <c r="C62" i="12" s="1"/>
  <c r="I61" i="12"/>
  <c r="I40" i="12"/>
  <c r="C61" i="12"/>
  <c r="C40" i="12"/>
  <c r="F73" i="12"/>
  <c r="J13" i="12"/>
  <c r="B14" i="12"/>
  <c r="C14" i="12" s="1"/>
  <c r="J61" i="12"/>
  <c r="AI23" i="13" a="1"/>
  <c r="AI23" i="13" s="1"/>
  <c r="I7" i="12"/>
  <c r="C10" i="12"/>
  <c r="E23" i="12"/>
  <c r="J23" i="12" s="1"/>
  <c r="C7" i="12"/>
  <c r="G7" i="12" s="1"/>
  <c r="AG5" i="13" a="1"/>
  <c r="AG5" i="13" s="1"/>
  <c r="AG23" i="13" a="1"/>
  <c r="AG23" i="13" s="1"/>
  <c r="AI5" i="13" a="1"/>
  <c r="AI5" i="13" s="1"/>
  <c r="B74" i="12"/>
  <c r="C74" i="12" s="1"/>
  <c r="E22" i="12"/>
  <c r="AI10" i="13" a="1"/>
  <c r="AI10" i="13" s="1"/>
  <c r="AI11" i="13" a="1"/>
  <c r="AI11" i="13" s="1"/>
  <c r="AJ27" i="13"/>
  <c r="AK27" i="13"/>
  <c r="C22" i="12"/>
  <c r="E11" i="12"/>
  <c r="F11" i="12" s="1"/>
  <c r="F16" i="12"/>
  <c r="AK4" i="13"/>
  <c r="AJ4" i="13"/>
  <c r="AI4" i="13" a="1"/>
  <c r="AI4" i="13" s="1"/>
  <c r="E4" i="12"/>
  <c r="E40" i="12"/>
  <c r="AI16" i="13" a="1"/>
  <c r="AI16" i="13" s="1"/>
  <c r="J55" i="12"/>
  <c r="AJ21" i="13"/>
  <c r="AK21" i="13"/>
  <c r="AJ8" i="13"/>
  <c r="AK8" i="13"/>
  <c r="B16" i="12"/>
  <c r="AG8" i="13" a="1"/>
  <c r="AG8" i="13" s="1"/>
  <c r="B13" i="12"/>
  <c r="AG7" i="13" a="1"/>
  <c r="AG7" i="13" s="1"/>
  <c r="AJ7" i="13"/>
  <c r="AK7" i="13"/>
  <c r="B55" i="12"/>
  <c r="AG21" i="13" a="1"/>
  <c r="AG21" i="13" s="1"/>
  <c r="B73" i="12"/>
  <c r="AG27" i="13" a="1"/>
  <c r="AG27" i="13" s="1"/>
  <c r="AK11" i="13"/>
  <c r="AJ11" i="13"/>
  <c r="AK10" i="13"/>
  <c r="AJ10" i="13"/>
  <c r="AK16" i="13"/>
  <c r="AJ16" i="13"/>
  <c r="AK15" i="13"/>
  <c r="AJ15" i="13"/>
  <c r="E52" i="12"/>
  <c r="AI20" i="13" a="1"/>
  <c r="AI20" i="13" s="1"/>
  <c r="AK13" i="13"/>
  <c r="AJ13" i="13"/>
  <c r="AI6" i="13" a="1"/>
  <c r="AI6" i="13" s="1"/>
  <c r="E10" i="12"/>
  <c r="E79" i="12"/>
  <c r="AI29" i="13" a="1"/>
  <c r="AI29" i="13" s="1"/>
  <c r="B28" i="12"/>
  <c r="AG12" i="13" a="1"/>
  <c r="AG12" i="13" s="1"/>
  <c r="AJ26" i="13"/>
  <c r="AK26" i="13"/>
  <c r="E58" i="12"/>
  <c r="AI22" i="13" a="1"/>
  <c r="AI22" i="13" s="1"/>
  <c r="AI17" i="13" a="1"/>
  <c r="AI17" i="13" s="1"/>
  <c r="E43" i="12"/>
  <c r="E49" i="12"/>
  <c r="AI19" i="13" a="1"/>
  <c r="AI19" i="13" s="1"/>
  <c r="AJ28" i="13"/>
  <c r="AK28" i="13"/>
  <c r="E46" i="12"/>
  <c r="AI18" i="13" a="1"/>
  <c r="AI18" i="13" s="1"/>
  <c r="B64" i="12"/>
  <c r="AG24" i="13" a="1"/>
  <c r="AG24" i="13" s="1"/>
  <c r="E37" i="12"/>
  <c r="AI15" i="13" a="1"/>
  <c r="AI15" i="13" s="1"/>
  <c r="B52" i="12"/>
  <c r="AG20" i="13" a="1"/>
  <c r="AG20" i="13" s="1"/>
  <c r="E31" i="12"/>
  <c r="AI13" i="13" a="1"/>
  <c r="AI13" i="13" s="1"/>
  <c r="AJ14" i="13"/>
  <c r="AK14" i="13"/>
  <c r="AJ29" i="13"/>
  <c r="AK29" i="13"/>
  <c r="E28" i="12"/>
  <c r="AI12" i="13" a="1"/>
  <c r="AI12" i="13" s="1"/>
  <c r="E67" i="12"/>
  <c r="AI25" i="13" a="1"/>
  <c r="AI25" i="13" s="1"/>
  <c r="AG22" i="13" a="1"/>
  <c r="AG22" i="13" s="1"/>
  <c r="B58" i="12"/>
  <c r="AJ17" i="13"/>
  <c r="AK17" i="13"/>
  <c r="AJ9" i="13"/>
  <c r="AK9" i="13"/>
  <c r="E76" i="12"/>
  <c r="AI28" i="13" a="1"/>
  <c r="AI28" i="13" s="1"/>
  <c r="B46" i="12"/>
  <c r="AG18" i="13" a="1"/>
  <c r="AG18" i="13" s="1"/>
  <c r="AJ24" i="13"/>
  <c r="AK24" i="13"/>
  <c r="B37" i="12"/>
  <c r="AG15" i="13" a="1"/>
  <c r="AG15" i="13" s="1"/>
  <c r="B31" i="12"/>
  <c r="AG13" i="13" a="1"/>
  <c r="AG13" i="13" s="1"/>
  <c r="E34" i="12"/>
  <c r="AI14" i="13" a="1"/>
  <c r="AI14" i="13" s="1"/>
  <c r="B79" i="12"/>
  <c r="AG29" i="13" a="1"/>
  <c r="AG29" i="13" s="1"/>
  <c r="B70" i="12"/>
  <c r="AG26" i="13" a="1"/>
  <c r="AG26" i="13" s="1"/>
  <c r="B67" i="12"/>
  <c r="AG25" i="13" a="1"/>
  <c r="AG25" i="13" s="1"/>
  <c r="AJ22" i="13"/>
  <c r="AK22" i="13"/>
  <c r="B49" i="12"/>
  <c r="AG19" i="13" a="1"/>
  <c r="AG19" i="13" s="1"/>
  <c r="E19" i="12"/>
  <c r="AI9" i="13" a="1"/>
  <c r="AI9" i="13" s="1"/>
  <c r="B76" i="12"/>
  <c r="AG28" i="13" a="1"/>
  <c r="AG28" i="13" s="1"/>
  <c r="E64" i="12"/>
  <c r="AI24" i="13" a="1"/>
  <c r="AI24" i="13" s="1"/>
  <c r="AJ20" i="13"/>
  <c r="AK20" i="13"/>
  <c r="C25" i="12"/>
  <c r="I25" i="12"/>
  <c r="E26" i="12"/>
  <c r="AJ6" i="13"/>
  <c r="AK6" i="13"/>
  <c r="B34" i="12"/>
  <c r="AG14" i="13" a="1"/>
  <c r="AG14" i="13" s="1"/>
  <c r="AJ12" i="13"/>
  <c r="AK12" i="13"/>
  <c r="E70" i="12"/>
  <c r="AI26" i="13" a="1"/>
  <c r="AI26" i="13" s="1"/>
  <c r="AK25" i="13"/>
  <c r="AJ25" i="13"/>
  <c r="B43" i="12"/>
  <c r="AG17" i="13" a="1"/>
  <c r="AG17" i="13" s="1"/>
  <c r="AJ19" i="13"/>
  <c r="AK19" i="13"/>
  <c r="B19" i="12"/>
  <c r="AG9" i="13" a="1"/>
  <c r="AG9" i="13" s="1"/>
  <c r="AJ18" i="13"/>
  <c r="AK18" i="13"/>
  <c r="J25" i="12"/>
  <c r="B26" i="12"/>
  <c r="F25" i="12"/>
  <c r="AT36" i="9"/>
  <c r="AT40" i="9"/>
  <c r="AT17" i="9"/>
  <c r="AT21" i="9"/>
  <c r="AT27" i="9"/>
  <c r="AT10" i="9"/>
  <c r="AT4" i="9"/>
  <c r="AT18" i="9"/>
  <c r="AT13" i="9"/>
  <c r="AT30" i="9"/>
  <c r="AT23" i="9"/>
  <c r="AT19" i="9"/>
  <c r="AD29" i="10"/>
  <c r="AH29" i="10" s="1"/>
  <c r="AT38" i="9"/>
  <c r="AT8" i="9"/>
  <c r="AD21" i="10"/>
  <c r="AE21" i="10" s="1"/>
  <c r="AT35" i="9"/>
  <c r="AT14" i="9"/>
  <c r="AD8" i="10"/>
  <c r="AT7" i="9"/>
  <c r="AD27" i="10"/>
  <c r="AE27" i="10" s="1"/>
  <c r="W20" i="9"/>
  <c r="X20" i="9" s="1"/>
  <c r="Y20" i="9" s="1"/>
  <c r="Z20" i="9" s="1"/>
  <c r="AD7" i="10"/>
  <c r="AE7" i="10" s="1"/>
  <c r="AT15" i="9"/>
  <c r="AD22" i="10"/>
  <c r="AE22" i="10" s="1"/>
  <c r="AD23" i="10"/>
  <c r="AF23" i="10" s="1"/>
  <c r="AT33" i="9"/>
  <c r="AT32" i="9"/>
  <c r="AT11" i="9"/>
  <c r="AT12" i="9"/>
  <c r="Y12" i="8"/>
  <c r="Z12" i="8" s="1"/>
  <c r="AA12" i="8"/>
  <c r="AB12" i="8" s="1"/>
  <c r="AA31" i="8"/>
  <c r="AB31" i="8" s="1"/>
  <c r="Y31" i="8"/>
  <c r="Z31" i="8" s="1"/>
  <c r="AA23" i="8"/>
  <c r="AB23" i="8" s="1"/>
  <c r="Y23" i="8"/>
  <c r="Z23" i="8" s="1"/>
  <c r="Y24" i="8"/>
  <c r="Z24" i="8" s="1"/>
  <c r="AA24" i="8"/>
  <c r="AB24" i="8" s="1"/>
  <c r="AA26" i="8"/>
  <c r="AB26" i="8" s="1"/>
  <c r="Y26" i="8"/>
  <c r="Z26" i="8" s="1"/>
  <c r="AA17" i="8"/>
  <c r="AB17" i="8" s="1"/>
  <c r="Y17" i="8"/>
  <c r="Z17" i="8" s="1"/>
  <c r="AA38" i="8"/>
  <c r="AB38" i="8" s="1"/>
  <c r="Y38" i="8"/>
  <c r="Z38" i="8" s="1"/>
  <c r="Y14" i="8"/>
  <c r="Z14" i="8" s="1"/>
  <c r="AA14" i="8"/>
  <c r="AB14" i="8" s="1"/>
  <c r="Y16" i="8"/>
  <c r="Z16" i="8" s="1"/>
  <c r="AA16" i="8"/>
  <c r="AB16" i="8" s="1"/>
  <c r="AT37" i="9"/>
  <c r="AD17" i="10"/>
  <c r="AT39" i="9"/>
  <c r="W21" i="9"/>
  <c r="X21" i="9" s="1"/>
  <c r="W38" i="9"/>
  <c r="X38" i="9" s="1"/>
  <c r="W7" i="9"/>
  <c r="X7" i="9" s="1"/>
  <c r="W11" i="9"/>
  <c r="X11" i="9" s="1"/>
  <c r="W40" i="9"/>
  <c r="X40" i="9" s="1"/>
  <c r="W4" i="9"/>
  <c r="X4" i="9" s="1"/>
  <c r="W6" i="9"/>
  <c r="X6" i="9" s="1"/>
  <c r="W34" i="9"/>
  <c r="X34" i="9" s="1"/>
  <c r="W14" i="9"/>
  <c r="X14" i="9" s="1"/>
  <c r="AO26" i="8"/>
  <c r="AP26" i="8" s="1"/>
  <c r="AO33" i="8"/>
  <c r="AP33" i="8" s="1"/>
  <c r="AO12" i="8"/>
  <c r="AP12" i="8" s="1"/>
  <c r="AO29" i="8"/>
  <c r="AP29" i="8" s="1"/>
  <c r="AO15" i="8"/>
  <c r="AP15" i="8" s="1"/>
  <c r="AO24" i="8"/>
  <c r="AP24" i="8" s="1"/>
  <c r="AO38" i="8"/>
  <c r="AP38" i="8" s="1"/>
  <c r="AO14" i="8"/>
  <c r="AP14" i="8" s="1"/>
  <c r="AO18" i="8"/>
  <c r="AP18" i="8" s="1"/>
  <c r="AO27" i="8"/>
  <c r="AP27" i="8" s="1"/>
  <c r="AO16" i="8"/>
  <c r="AP16" i="8" s="1"/>
  <c r="AO21" i="8"/>
  <c r="AP21" i="8" s="1"/>
  <c r="AO11" i="8"/>
  <c r="AP11" i="8" s="1"/>
  <c r="AO34" i="8"/>
  <c r="AP34" i="8" s="1"/>
  <c r="AO17" i="8"/>
  <c r="AP17" i="8" s="1"/>
  <c r="AO5" i="8"/>
  <c r="AP5" i="8" s="1"/>
  <c r="AO4" i="8"/>
  <c r="AP4" i="8" s="1"/>
  <c r="AO25" i="8"/>
  <c r="AP25" i="8" s="1"/>
  <c r="AO7" i="8"/>
  <c r="AP7" i="8" s="1"/>
  <c r="AO32" i="8"/>
  <c r="AP32" i="8" s="1"/>
  <c r="AO6" i="8"/>
  <c r="AP6" i="8" s="1"/>
  <c r="AO31" i="8"/>
  <c r="AP31" i="8" s="1"/>
  <c r="AO39" i="8"/>
  <c r="AP39" i="8" s="1"/>
  <c r="AO10" i="8"/>
  <c r="AP10" i="8" s="1"/>
  <c r="AO40" i="8"/>
  <c r="AP40" i="8" s="1"/>
  <c r="AO9" i="8"/>
  <c r="AP9" i="8" s="1"/>
  <c r="AO28" i="8"/>
  <c r="AP28" i="8" s="1"/>
  <c r="AO30" i="8"/>
  <c r="AP30" i="8" s="1"/>
  <c r="AO20" i="8"/>
  <c r="AP20" i="8" s="1"/>
  <c r="AO22" i="8"/>
  <c r="AP22" i="8" s="1"/>
  <c r="AO36" i="8"/>
  <c r="AP36" i="8" s="1"/>
  <c r="AO8" i="8"/>
  <c r="AP8" i="8" s="1"/>
  <c r="AO23" i="8"/>
  <c r="AP23" i="8" s="1"/>
  <c r="AO35" i="8"/>
  <c r="AP35" i="8" s="1"/>
  <c r="AO13" i="8"/>
  <c r="AP13" i="8" s="1"/>
  <c r="AO19" i="8"/>
  <c r="AP19" i="8" s="1"/>
  <c r="AO37" i="8"/>
  <c r="AP37" i="8" s="1"/>
  <c r="AD5" i="10"/>
  <c r="AD13" i="10"/>
  <c r="AT22" i="9"/>
  <c r="AD18" i="10"/>
  <c r="AD28" i="10"/>
  <c r="AT31" i="9"/>
  <c r="AT20" i="9"/>
  <c r="AT25" i="9"/>
  <c r="AT5" i="9"/>
  <c r="Y32" i="8"/>
  <c r="Z32" i="8" s="1"/>
  <c r="AA32" i="8"/>
  <c r="AB32" i="8" s="1"/>
  <c r="Y19" i="8"/>
  <c r="Z19" i="8" s="1"/>
  <c r="AA19" i="8"/>
  <c r="AB19" i="8" s="1"/>
  <c r="Y15" i="8"/>
  <c r="Z15" i="8" s="1"/>
  <c r="AA15" i="8"/>
  <c r="AB15" i="8" s="1"/>
  <c r="Y11" i="8"/>
  <c r="Z11" i="8" s="1"/>
  <c r="AA11" i="8"/>
  <c r="AB11" i="8" s="1"/>
  <c r="Y22" i="8"/>
  <c r="Z22" i="8" s="1"/>
  <c r="AA22" i="8"/>
  <c r="AB22" i="8" s="1"/>
  <c r="AA39" i="8"/>
  <c r="AB39" i="8" s="1"/>
  <c r="Y39" i="8"/>
  <c r="Z39" i="8" s="1"/>
  <c r="Y5" i="8"/>
  <c r="Z5" i="8" s="1"/>
  <c r="AA5" i="8"/>
  <c r="AB5" i="8" s="1"/>
  <c r="AA30" i="8"/>
  <c r="AB30" i="8" s="1"/>
  <c r="Y30" i="8"/>
  <c r="Z30" i="8" s="1"/>
  <c r="AA33" i="8"/>
  <c r="AB33" i="8" s="1"/>
  <c r="Y33" i="8"/>
  <c r="Z33" i="8" s="1"/>
  <c r="AT16" i="9"/>
  <c r="AD24" i="10"/>
  <c r="W18" i="9"/>
  <c r="X18" i="9" s="1"/>
  <c r="W16" i="9"/>
  <c r="X16" i="9" s="1"/>
  <c r="W37" i="9"/>
  <c r="X37" i="9" s="1"/>
  <c r="W22" i="9"/>
  <c r="X22" i="9" s="1"/>
  <c r="W29" i="9"/>
  <c r="X29" i="9" s="1"/>
  <c r="W8" i="9"/>
  <c r="X8" i="9" s="1"/>
  <c r="W32" i="9"/>
  <c r="X32" i="9" s="1"/>
  <c r="W26" i="9"/>
  <c r="X26" i="9" s="1"/>
  <c r="W30" i="9"/>
  <c r="X30" i="9" s="1"/>
  <c r="W9" i="9"/>
  <c r="X9" i="9" s="1"/>
  <c r="AD14" i="10"/>
  <c r="AD12" i="10"/>
  <c r="AT9" i="9"/>
  <c r="AT34" i="9"/>
  <c r="AT26" i="9"/>
  <c r="AD10" i="10"/>
  <c r="AD19" i="10"/>
  <c r="AT24" i="9"/>
  <c r="AT6" i="9"/>
  <c r="AT28" i="9"/>
  <c r="Y35" i="8"/>
  <c r="Z35" i="8" s="1"/>
  <c r="AA35" i="8"/>
  <c r="AB35" i="8" s="1"/>
  <c r="Y36" i="8"/>
  <c r="Z36" i="8" s="1"/>
  <c r="AA36" i="8"/>
  <c r="AB36" i="8" s="1"/>
  <c r="AA6" i="8"/>
  <c r="AB6" i="8" s="1"/>
  <c r="Y6" i="8"/>
  <c r="Z6" i="8" s="1"/>
  <c r="AA13" i="8"/>
  <c r="AB13" i="8" s="1"/>
  <c r="Y13" i="8"/>
  <c r="Z13" i="8" s="1"/>
  <c r="Y20" i="8"/>
  <c r="Z20" i="8" s="1"/>
  <c r="AA20" i="8"/>
  <c r="AB20" i="8" s="1"/>
  <c r="Y40" i="8"/>
  <c r="Z40" i="8" s="1"/>
  <c r="AA40" i="8"/>
  <c r="AB40" i="8" s="1"/>
  <c r="Y18" i="8"/>
  <c r="Z18" i="8" s="1"/>
  <c r="AA18" i="8"/>
  <c r="AB18" i="8" s="1"/>
  <c r="AA28" i="8"/>
  <c r="AB28" i="8" s="1"/>
  <c r="Y28" i="8"/>
  <c r="Z28" i="8" s="1"/>
  <c r="Y37" i="8"/>
  <c r="Z37" i="8" s="1"/>
  <c r="AA37" i="8"/>
  <c r="AB37" i="8" s="1"/>
  <c r="AA21" i="8"/>
  <c r="AB21" i="8" s="1"/>
  <c r="Y21" i="8"/>
  <c r="Z21" i="8" s="1"/>
  <c r="AD26" i="10"/>
  <c r="AD9" i="10"/>
  <c r="W15" i="9"/>
  <c r="X15" i="9" s="1"/>
  <c r="W24" i="9"/>
  <c r="X24" i="9" s="1"/>
  <c r="W28" i="9"/>
  <c r="X28" i="9" s="1"/>
  <c r="W27" i="9"/>
  <c r="X27" i="9" s="1"/>
  <c r="W39" i="9"/>
  <c r="X39" i="9" s="1"/>
  <c r="W10" i="9"/>
  <c r="X10" i="9" s="1"/>
  <c r="W17" i="9"/>
  <c r="X17" i="9" s="1"/>
  <c r="W13" i="9"/>
  <c r="X13" i="9" s="1"/>
  <c r="W33" i="9"/>
  <c r="X33" i="9" s="1"/>
  <c r="AD20" i="10"/>
  <c r="AD15" i="10"/>
  <c r="AD25" i="10"/>
  <c r="Y8" i="8"/>
  <c r="Z8" i="8" s="1"/>
  <c r="AA8" i="8"/>
  <c r="AB8" i="8" s="1"/>
  <c r="AA34" i="8"/>
  <c r="AB34" i="8" s="1"/>
  <c r="Y34" i="8"/>
  <c r="Z34" i="8" s="1"/>
  <c r="AA29" i="8"/>
  <c r="AB29" i="8" s="1"/>
  <c r="Y29" i="8"/>
  <c r="Z29" i="8" s="1"/>
  <c r="AA25" i="8"/>
  <c r="AB25" i="8" s="1"/>
  <c r="Y25" i="8"/>
  <c r="Z25" i="8" s="1"/>
  <c r="AA27" i="8"/>
  <c r="AB27" i="8" s="1"/>
  <c r="Y27" i="8"/>
  <c r="Z27" i="8" s="1"/>
  <c r="Y4" i="8"/>
  <c r="Z4" i="8" s="1"/>
  <c r="AA4" i="8"/>
  <c r="AB4" i="8" s="1"/>
  <c r="Y9" i="8"/>
  <c r="Z9" i="8" s="1"/>
  <c r="AA9" i="8"/>
  <c r="AB9" i="8" s="1"/>
  <c r="Y7" i="8"/>
  <c r="Z7" i="8" s="1"/>
  <c r="AA7" i="8"/>
  <c r="AB7" i="8" s="1"/>
  <c r="Y10" i="8"/>
  <c r="Z10" i="8" s="1"/>
  <c r="AA10" i="8"/>
  <c r="AB10" i="8" s="1"/>
  <c r="AD4" i="10"/>
  <c r="AD11" i="10"/>
  <c r="W12" i="9"/>
  <c r="X12" i="9" s="1"/>
  <c r="W31" i="9"/>
  <c r="X31" i="9" s="1"/>
  <c r="W35" i="9"/>
  <c r="X35" i="9" s="1"/>
  <c r="W19" i="9"/>
  <c r="X19" i="9" s="1"/>
  <c r="W23" i="9"/>
  <c r="X23" i="9" s="1"/>
  <c r="W5" i="9"/>
  <c r="X5" i="9" s="1"/>
  <c r="W36" i="9"/>
  <c r="X36" i="9" s="1"/>
  <c r="W25" i="9"/>
  <c r="X25" i="9" s="1"/>
  <c r="AT29" i="9"/>
  <c r="AD16" i="10"/>
  <c r="AD6" i="10"/>
  <c r="P35" i="14" a="1"/>
  <c r="P35" i="14" s="1"/>
  <c r="F62" i="12"/>
  <c r="J62" i="12"/>
  <c r="F8" i="12"/>
  <c r="J8" i="12"/>
  <c r="F41" i="12"/>
  <c r="J41" i="12"/>
  <c r="O35" i="14" a="1"/>
  <c r="O35" i="14" s="1"/>
  <c r="C17" i="12"/>
  <c r="I17" i="12"/>
  <c r="H7" i="7" l="1"/>
  <c r="J5" i="12"/>
  <c r="H6" i="7"/>
  <c r="AB15" i="4"/>
  <c r="AD14" i="4"/>
  <c r="AE14" i="4" s="1"/>
  <c r="AC14" i="4"/>
  <c r="W15" i="4"/>
  <c r="AS5" i="7"/>
  <c r="Q15" i="4"/>
  <c r="I8" i="12"/>
  <c r="K8" i="12" s="1"/>
  <c r="L8" i="12" s="1"/>
  <c r="M8" i="12" s="1"/>
  <c r="C56" i="12"/>
  <c r="K7" i="12"/>
  <c r="L7" i="12" s="1"/>
  <c r="M7" i="12" s="1"/>
  <c r="I62" i="12"/>
  <c r="K62" i="12" s="1"/>
  <c r="I74" i="12"/>
  <c r="I14" i="12"/>
  <c r="K61" i="12"/>
  <c r="L61" i="12" s="1"/>
  <c r="M61" i="12" s="1"/>
  <c r="F23" i="12"/>
  <c r="J11" i="12"/>
  <c r="J22" i="12"/>
  <c r="K22" i="12" s="1"/>
  <c r="L22" i="12" s="1"/>
  <c r="M22" i="12" s="1"/>
  <c r="F22" i="12"/>
  <c r="B23" i="12"/>
  <c r="J4" i="12"/>
  <c r="K4" i="12" s="1"/>
  <c r="L4" i="12" s="1"/>
  <c r="M4" i="12" s="1"/>
  <c r="B5" i="12"/>
  <c r="F4" i="12"/>
  <c r="F40" i="12"/>
  <c r="B41" i="12"/>
  <c r="J40" i="12"/>
  <c r="K40" i="12" s="1"/>
  <c r="L40" i="12" s="1"/>
  <c r="M40" i="12" s="1"/>
  <c r="C16" i="12"/>
  <c r="I16" i="12"/>
  <c r="K16" i="12" s="1"/>
  <c r="L16" i="12" s="1"/>
  <c r="E17" i="12"/>
  <c r="E14" i="12"/>
  <c r="C13" i="12"/>
  <c r="I13" i="12"/>
  <c r="K13" i="12" s="1"/>
  <c r="L13" i="12" s="1"/>
  <c r="E74" i="12"/>
  <c r="I73" i="12"/>
  <c r="K73" i="12" s="1"/>
  <c r="L73" i="12" s="1"/>
  <c r="M73" i="12" s="1"/>
  <c r="C73" i="12"/>
  <c r="I55" i="12"/>
  <c r="K55" i="12" s="1"/>
  <c r="L55" i="12" s="1"/>
  <c r="M55" i="12" s="1"/>
  <c r="E56" i="12"/>
  <c r="C55" i="12"/>
  <c r="AF22" i="10"/>
  <c r="B58" i="11" s="1"/>
  <c r="F26" i="12"/>
  <c r="J26" i="12"/>
  <c r="I76" i="12"/>
  <c r="E77" i="12"/>
  <c r="C76" i="12"/>
  <c r="E50" i="12"/>
  <c r="C49" i="12"/>
  <c r="I49" i="12"/>
  <c r="C67" i="12"/>
  <c r="I67" i="12"/>
  <c r="E68" i="12"/>
  <c r="C79" i="12"/>
  <c r="E80" i="12"/>
  <c r="I79" i="12"/>
  <c r="I31" i="12"/>
  <c r="E32" i="12"/>
  <c r="C31" i="12"/>
  <c r="J76" i="12"/>
  <c r="B77" i="12"/>
  <c r="F76" i="12"/>
  <c r="B68" i="12"/>
  <c r="J67" i="12"/>
  <c r="F67" i="12"/>
  <c r="B32" i="12"/>
  <c r="F31" i="12"/>
  <c r="J31" i="12"/>
  <c r="F37" i="12"/>
  <c r="B38" i="12"/>
  <c r="J37" i="12"/>
  <c r="J46" i="12"/>
  <c r="B47" i="12"/>
  <c r="F46" i="12"/>
  <c r="F49" i="12"/>
  <c r="J49" i="12"/>
  <c r="B50" i="12"/>
  <c r="J58" i="12"/>
  <c r="B59" i="12"/>
  <c r="F58" i="12"/>
  <c r="E29" i="12"/>
  <c r="I28" i="12"/>
  <c r="C28" i="12"/>
  <c r="J52" i="12"/>
  <c r="B53" i="12"/>
  <c r="F52" i="12"/>
  <c r="I19" i="12"/>
  <c r="E20" i="12"/>
  <c r="C19" i="12"/>
  <c r="C43" i="12"/>
  <c r="I43" i="12"/>
  <c r="E44" i="12"/>
  <c r="B71" i="12"/>
  <c r="F70" i="12"/>
  <c r="J70" i="12"/>
  <c r="E35" i="12"/>
  <c r="C34" i="12"/>
  <c r="I34" i="12"/>
  <c r="I58" i="12"/>
  <c r="E59" i="12"/>
  <c r="C58" i="12"/>
  <c r="J43" i="12"/>
  <c r="B44" i="12"/>
  <c r="F43" i="12"/>
  <c r="F64" i="12"/>
  <c r="J64" i="12"/>
  <c r="B65" i="12"/>
  <c r="B20" i="12"/>
  <c r="F19" i="12"/>
  <c r="J19" i="12"/>
  <c r="C70" i="12"/>
  <c r="E71" i="12"/>
  <c r="I70" i="12"/>
  <c r="B35" i="12"/>
  <c r="F34" i="12"/>
  <c r="J34" i="12"/>
  <c r="C37" i="12"/>
  <c r="I37" i="12"/>
  <c r="E38" i="12"/>
  <c r="E47" i="12"/>
  <c r="C46" i="12"/>
  <c r="I46" i="12"/>
  <c r="B29" i="12"/>
  <c r="F28" i="12"/>
  <c r="J28" i="12"/>
  <c r="I52" i="12"/>
  <c r="C52" i="12"/>
  <c r="E53" i="12"/>
  <c r="C64" i="12"/>
  <c r="E65" i="12"/>
  <c r="I64" i="12"/>
  <c r="B80" i="12"/>
  <c r="F79" i="12"/>
  <c r="J79" i="12"/>
  <c r="K25" i="12"/>
  <c r="L25" i="12" s="1"/>
  <c r="B11" i="12"/>
  <c r="F10" i="12"/>
  <c r="J10" i="12"/>
  <c r="K10" i="12" s="1"/>
  <c r="L10" i="12" s="1"/>
  <c r="M10" i="12" s="1"/>
  <c r="AE8" i="10"/>
  <c r="AK8" i="10" s="1"/>
  <c r="AH23" i="10"/>
  <c r="AI23" i="10" s="1" a="1"/>
  <c r="AI23" i="10" s="1"/>
  <c r="G25" i="12"/>
  <c r="AH27" i="10"/>
  <c r="AI27" i="10" s="1" a="1"/>
  <c r="AI27" i="10" s="1"/>
  <c r="C26" i="12"/>
  <c r="I26" i="12"/>
  <c r="AE23" i="10"/>
  <c r="AK23" i="10" s="1"/>
  <c r="AE29" i="10"/>
  <c r="AJ29" i="10" s="1"/>
  <c r="AH7" i="10"/>
  <c r="E13" i="11" s="1"/>
  <c r="AF21" i="10"/>
  <c r="B55" i="11" s="1"/>
  <c r="AA20" i="9"/>
  <c r="AC20" i="9" s="1"/>
  <c r="AB20" i="9" s="1"/>
  <c r="AE6" i="10"/>
  <c r="AF6" i="10" s="1"/>
  <c r="Y36" i="9"/>
  <c r="Z36" i="9" s="1"/>
  <c r="AA36" i="9"/>
  <c r="AC36" i="9" s="1"/>
  <c r="Y35" i="9"/>
  <c r="Z35" i="9" s="1"/>
  <c r="AA35" i="9"/>
  <c r="AC35" i="9" s="1"/>
  <c r="AE4" i="10"/>
  <c r="AH4" i="10" s="1"/>
  <c r="AE25" i="10"/>
  <c r="AH25" i="10"/>
  <c r="Y13" i="9"/>
  <c r="Z13" i="9" s="1"/>
  <c r="AA13" i="9"/>
  <c r="AC13" i="9" s="1"/>
  <c r="Y27" i="9"/>
  <c r="Z27" i="9" s="1"/>
  <c r="AA27" i="9"/>
  <c r="AC27" i="9" s="1"/>
  <c r="AE9" i="10"/>
  <c r="AH9" i="10" s="1"/>
  <c r="AE10" i="10"/>
  <c r="AF10" i="10" s="1"/>
  <c r="AE12" i="10"/>
  <c r="AF12" i="10" s="1"/>
  <c r="Y26" i="9"/>
  <c r="Z26" i="9" s="1"/>
  <c r="AA26" i="9"/>
  <c r="AC26" i="9" s="1"/>
  <c r="AA22" i="9"/>
  <c r="AC22" i="9" s="1"/>
  <c r="Y22" i="9"/>
  <c r="Z22" i="9" s="1"/>
  <c r="AE24" i="10"/>
  <c r="AH24" i="10"/>
  <c r="AS19" i="8"/>
  <c r="AT19" i="8" s="1"/>
  <c r="AQ19" i="8"/>
  <c r="AR19" i="8" s="1"/>
  <c r="AS8" i="8"/>
  <c r="AT8" i="8" s="1"/>
  <c r="AQ8" i="8"/>
  <c r="AR8" i="8" s="1"/>
  <c r="AS30" i="8"/>
  <c r="AT30" i="8" s="1"/>
  <c r="AQ30" i="8"/>
  <c r="AR30" i="8" s="1"/>
  <c r="AS10" i="8"/>
  <c r="AT10" i="8" s="1"/>
  <c r="AQ10" i="8"/>
  <c r="AR10" i="8" s="1"/>
  <c r="AS32" i="8"/>
  <c r="AT32" i="8" s="1"/>
  <c r="AQ32" i="8"/>
  <c r="AR32" i="8" s="1"/>
  <c r="AQ5" i="8"/>
  <c r="AR5" i="8" s="1"/>
  <c r="AS5" i="8"/>
  <c r="AT5" i="8" s="1"/>
  <c r="AS21" i="8"/>
  <c r="AT21" i="8" s="1"/>
  <c r="AQ21" i="8"/>
  <c r="AR21" i="8" s="1"/>
  <c r="AS14" i="8"/>
  <c r="AT14" i="8" s="1"/>
  <c r="AQ14" i="8"/>
  <c r="AR14" i="8" s="1"/>
  <c r="AS29" i="8"/>
  <c r="AT29" i="8" s="1"/>
  <c r="AQ29" i="8"/>
  <c r="AR29" i="8" s="1"/>
  <c r="Y14" i="9"/>
  <c r="Z14" i="9" s="1"/>
  <c r="AA14" i="9"/>
  <c r="AC14" i="9" s="1"/>
  <c r="AA40" i="9"/>
  <c r="AC40" i="9" s="1"/>
  <c r="Y40" i="9"/>
  <c r="Z40" i="9" s="1"/>
  <c r="Y21" i="9"/>
  <c r="Z21" i="9" s="1"/>
  <c r="AA21" i="9"/>
  <c r="AC21" i="9" s="1"/>
  <c r="AH16" i="10"/>
  <c r="AE16" i="10"/>
  <c r="AA5" i="9"/>
  <c r="AC5" i="9" s="1"/>
  <c r="Y5" i="9"/>
  <c r="Z5" i="9" s="1"/>
  <c r="Y31" i="9"/>
  <c r="Z31" i="9" s="1"/>
  <c r="AA31" i="9"/>
  <c r="AC31" i="9" s="1"/>
  <c r="AE15" i="10"/>
  <c r="AH15" i="10"/>
  <c r="AF15" i="10"/>
  <c r="Y17" i="9"/>
  <c r="Z17" i="9" s="1"/>
  <c r="AA17" i="9"/>
  <c r="AC17" i="9" s="1"/>
  <c r="Y28" i="9"/>
  <c r="Z28" i="9" s="1"/>
  <c r="AA28" i="9"/>
  <c r="AC28" i="9" s="1"/>
  <c r="AH26" i="10"/>
  <c r="AF26" i="10"/>
  <c r="AE26" i="10"/>
  <c r="AF27" i="10"/>
  <c r="AK27" i="10"/>
  <c r="AJ27" i="10"/>
  <c r="AE14" i="10"/>
  <c r="AH14" i="10" s="1"/>
  <c r="Y32" i="9"/>
  <c r="Z32" i="9" s="1"/>
  <c r="AA32" i="9"/>
  <c r="AC32" i="9" s="1"/>
  <c r="Y37" i="9"/>
  <c r="Z37" i="9" s="1"/>
  <c r="AA37" i="9"/>
  <c r="AC37" i="9" s="1"/>
  <c r="AE13" i="10"/>
  <c r="AH13" i="10" s="1"/>
  <c r="AS13" i="8"/>
  <c r="AT13" i="8" s="1"/>
  <c r="AQ13" i="8"/>
  <c r="AR13" i="8" s="1"/>
  <c r="AS36" i="8"/>
  <c r="AT36" i="8" s="1"/>
  <c r="AQ36" i="8"/>
  <c r="AR36" i="8" s="1"/>
  <c r="AS28" i="8"/>
  <c r="AT28" i="8" s="1"/>
  <c r="AQ28" i="8"/>
  <c r="AR28" i="8" s="1"/>
  <c r="AS39" i="8"/>
  <c r="AT39" i="8" s="1"/>
  <c r="AQ39" i="8"/>
  <c r="AR39" i="8" s="1"/>
  <c r="AS7" i="8"/>
  <c r="AT7" i="8" s="1"/>
  <c r="AQ7" i="8"/>
  <c r="AR7" i="8" s="1"/>
  <c r="AS17" i="8"/>
  <c r="AT17" i="8" s="1"/>
  <c r="AQ17" i="8"/>
  <c r="AR17" i="8" s="1"/>
  <c r="AS16" i="8"/>
  <c r="AT16" i="8" s="1"/>
  <c r="AQ16" i="8"/>
  <c r="AR16" i="8" s="1"/>
  <c r="AS38" i="8"/>
  <c r="AT38" i="8" s="1"/>
  <c r="AQ38" i="8"/>
  <c r="AR38" i="8" s="1"/>
  <c r="AS12" i="8"/>
  <c r="AT12" i="8" s="1"/>
  <c r="AQ12" i="8"/>
  <c r="AR12" i="8" s="1"/>
  <c r="Y34" i="9"/>
  <c r="Z34" i="9" s="1"/>
  <c r="AA34" i="9"/>
  <c r="AC34" i="9" s="1"/>
  <c r="Y11" i="9"/>
  <c r="Z11" i="9" s="1"/>
  <c r="AA11" i="9"/>
  <c r="AC11" i="9" s="1"/>
  <c r="AA23" i="9"/>
  <c r="AC23" i="9" s="1"/>
  <c r="Y23" i="9"/>
  <c r="Z23" i="9" s="1"/>
  <c r="Y12" i="9"/>
  <c r="Z12" i="9" s="1"/>
  <c r="AA12" i="9"/>
  <c r="AC12" i="9" s="1"/>
  <c r="AE20" i="10"/>
  <c r="AH20" i="10"/>
  <c r="AA10" i="9"/>
  <c r="AC10" i="9" s="1"/>
  <c r="Y10" i="9"/>
  <c r="Z10" i="9" s="1"/>
  <c r="Y24" i="9"/>
  <c r="Z24" i="9" s="1"/>
  <c r="AA24" i="9"/>
  <c r="AC24" i="9" s="1"/>
  <c r="Y9" i="9"/>
  <c r="Z9" i="9" s="1"/>
  <c r="AA9" i="9"/>
  <c r="AC9" i="9" s="1"/>
  <c r="AA8" i="9"/>
  <c r="AC8" i="9" s="1"/>
  <c r="Y8" i="9"/>
  <c r="Z8" i="9" s="1"/>
  <c r="Y16" i="9"/>
  <c r="Z16" i="9" s="1"/>
  <c r="AA16" i="9"/>
  <c r="AC16" i="9" s="1"/>
  <c r="AE28" i="10"/>
  <c r="AF28" i="10"/>
  <c r="AE5" i="10"/>
  <c r="AH5" i="10" s="1"/>
  <c r="AS35" i="8"/>
  <c r="AT35" i="8" s="1"/>
  <c r="AQ35" i="8"/>
  <c r="AR35" i="8" s="1"/>
  <c r="AS22" i="8"/>
  <c r="AT22" i="8" s="1"/>
  <c r="AQ22" i="8"/>
  <c r="AR22" i="8" s="1"/>
  <c r="AS9" i="8"/>
  <c r="AT9" i="8" s="1"/>
  <c r="AQ9" i="8"/>
  <c r="AR9" i="8" s="1"/>
  <c r="AS31" i="8"/>
  <c r="AT31" i="8" s="1"/>
  <c r="AQ31" i="8"/>
  <c r="AR31" i="8" s="1"/>
  <c r="AS25" i="8"/>
  <c r="AT25" i="8" s="1"/>
  <c r="AQ25" i="8"/>
  <c r="AR25" i="8" s="1"/>
  <c r="AS34" i="8"/>
  <c r="AT34" i="8" s="1"/>
  <c r="AQ34" i="8"/>
  <c r="AR34" i="8" s="1"/>
  <c r="AS27" i="8"/>
  <c r="AT27" i="8" s="1"/>
  <c r="AQ27" i="8"/>
  <c r="AR27" i="8" s="1"/>
  <c r="AS24" i="8"/>
  <c r="AT24" i="8" s="1"/>
  <c r="AQ24" i="8"/>
  <c r="AR24" i="8" s="1"/>
  <c r="AS33" i="8"/>
  <c r="AT33" i="8" s="1"/>
  <c r="AQ33" i="8"/>
  <c r="AR33" i="8" s="1"/>
  <c r="Y6" i="9"/>
  <c r="Z6" i="9" s="1"/>
  <c r="AA6" i="9"/>
  <c r="AC6" i="9" s="1"/>
  <c r="AA7" i="9"/>
  <c r="AC7" i="9" s="1"/>
  <c r="Y7" i="9"/>
  <c r="Z7" i="9" s="1"/>
  <c r="AE17" i="10"/>
  <c r="AF17" i="10"/>
  <c r="E79" i="11"/>
  <c r="AI29" i="10" a="1"/>
  <c r="AI29" i="10" s="1"/>
  <c r="Y25" i="9"/>
  <c r="Z25" i="9" s="1"/>
  <c r="AA25" i="9"/>
  <c r="AC25" i="9" s="1"/>
  <c r="AA19" i="9"/>
  <c r="AC19" i="9" s="1"/>
  <c r="Y19" i="9"/>
  <c r="Z19" i="9" s="1"/>
  <c r="AE11" i="10"/>
  <c r="AH11" i="10" s="1"/>
  <c r="B61" i="11"/>
  <c r="AG23" i="10" a="1"/>
  <c r="AG23" i="10" s="1"/>
  <c r="AH22" i="10"/>
  <c r="AJ22" i="10"/>
  <c r="AK22" i="10"/>
  <c r="Y33" i="9"/>
  <c r="Z33" i="9" s="1"/>
  <c r="AA33" i="9"/>
  <c r="AC33" i="9" s="1"/>
  <c r="Y39" i="9"/>
  <c r="Z39" i="9" s="1"/>
  <c r="AA39" i="9"/>
  <c r="AC39" i="9" s="1"/>
  <c r="Y15" i="9"/>
  <c r="Z15" i="9" s="1"/>
  <c r="AA15" i="9"/>
  <c r="AC15" i="9" s="1"/>
  <c r="AE19" i="10"/>
  <c r="AH19" i="10"/>
  <c r="Y30" i="9"/>
  <c r="Z30" i="9" s="1"/>
  <c r="AA30" i="9"/>
  <c r="AC30" i="9" s="1"/>
  <c r="Y29" i="9"/>
  <c r="Z29" i="9" s="1"/>
  <c r="AA29" i="9"/>
  <c r="AC29" i="9" s="1"/>
  <c r="Y18" i="9"/>
  <c r="Z18" i="9" s="1"/>
  <c r="AA18" i="9"/>
  <c r="AC18" i="9" s="1"/>
  <c r="AH18" i="10"/>
  <c r="AE18" i="10"/>
  <c r="AS37" i="8"/>
  <c r="AT37" i="8" s="1"/>
  <c r="AQ37" i="8"/>
  <c r="AR37" i="8" s="1"/>
  <c r="AS23" i="8"/>
  <c r="AT23" i="8" s="1"/>
  <c r="AQ23" i="8"/>
  <c r="AR23" i="8" s="1"/>
  <c r="AS20" i="8"/>
  <c r="AT20" i="8" s="1"/>
  <c r="AQ20" i="8"/>
  <c r="AR20" i="8" s="1"/>
  <c r="AS40" i="8"/>
  <c r="AT40" i="8" s="1"/>
  <c r="AQ40" i="8"/>
  <c r="AR40" i="8" s="1"/>
  <c r="AS6" i="8"/>
  <c r="AT6" i="8" s="1"/>
  <c r="AQ6" i="8"/>
  <c r="AR6" i="8" s="1"/>
  <c r="AS4" i="8"/>
  <c r="AT4" i="8" s="1"/>
  <c r="AQ4" i="8"/>
  <c r="AR4" i="8" s="1"/>
  <c r="AS11" i="8"/>
  <c r="AT11" i="8" s="1"/>
  <c r="AQ11" i="8"/>
  <c r="AR11" i="8" s="1"/>
  <c r="AS18" i="8"/>
  <c r="AT18" i="8" s="1"/>
  <c r="AQ18" i="8"/>
  <c r="AR18" i="8" s="1"/>
  <c r="AS15" i="8"/>
  <c r="AT15" i="8" s="1"/>
  <c r="AQ15" i="8"/>
  <c r="AR15" i="8" s="1"/>
  <c r="AS26" i="8"/>
  <c r="AT26" i="8" s="1"/>
  <c r="AQ26" i="8"/>
  <c r="AR26" i="8" s="1"/>
  <c r="Y4" i="9"/>
  <c r="Z4" i="9" s="1"/>
  <c r="AA4" i="9"/>
  <c r="AC4" i="9" s="1"/>
  <c r="AA38" i="9"/>
  <c r="AC38" i="9" s="1"/>
  <c r="Y38" i="9"/>
  <c r="Z38" i="9" s="1"/>
  <c r="AF29" i="10"/>
  <c r="AF7" i="10"/>
  <c r="AK7" i="10"/>
  <c r="AJ7" i="10"/>
  <c r="AH21" i="10"/>
  <c r="AJ21" i="10"/>
  <c r="AK21" i="10"/>
  <c r="G8" i="12"/>
  <c r="AH12" i="10" l="1"/>
  <c r="AI12" i="10" s="1" a="1"/>
  <c r="AI12" i="10" s="1"/>
  <c r="AF8" i="10"/>
  <c r="AG8" i="10" s="1" a="1"/>
  <c r="AG8" i="10" s="1"/>
  <c r="AH8" i="10"/>
  <c r="AF4" i="10"/>
  <c r="B4" i="11" s="1"/>
  <c r="AB16" i="4"/>
  <c r="AD15" i="4"/>
  <c r="AE15" i="4" s="1"/>
  <c r="AC15" i="4"/>
  <c r="W16" i="4"/>
  <c r="Q16" i="4"/>
  <c r="AG22" i="10" a="1"/>
  <c r="AG22" i="10" s="1"/>
  <c r="M16" i="12"/>
  <c r="C23" i="12"/>
  <c r="I23" i="12"/>
  <c r="K23" i="12" s="1"/>
  <c r="L23" i="12" s="1"/>
  <c r="M23" i="12" s="1"/>
  <c r="G22" i="12"/>
  <c r="AJ8" i="10"/>
  <c r="G4" i="12"/>
  <c r="I5" i="12"/>
  <c r="K5" i="12" s="1"/>
  <c r="L5" i="12" s="1"/>
  <c r="M5" i="12" s="1"/>
  <c r="C5" i="12"/>
  <c r="C41" i="12"/>
  <c r="I41" i="12"/>
  <c r="K41" i="12" s="1"/>
  <c r="L41" i="12" s="1"/>
  <c r="M41" i="12" s="1"/>
  <c r="G40" i="12"/>
  <c r="J17" i="12"/>
  <c r="K17" i="12" s="1"/>
  <c r="L17" i="12" s="1"/>
  <c r="M17" i="12" s="1"/>
  <c r="F17" i="12"/>
  <c r="G16" i="12"/>
  <c r="M13" i="12"/>
  <c r="G13" i="12"/>
  <c r="J14" i="12"/>
  <c r="K14" i="12" s="1"/>
  <c r="L14" i="12" s="1"/>
  <c r="M14" i="12" s="1"/>
  <c r="F14" i="12"/>
  <c r="M25" i="12"/>
  <c r="G55" i="12"/>
  <c r="K70" i="12"/>
  <c r="L70" i="12" s="1"/>
  <c r="M70" i="12" s="1"/>
  <c r="J56" i="12"/>
  <c r="K56" i="12" s="1"/>
  <c r="L56" i="12" s="1"/>
  <c r="M56" i="12" s="1"/>
  <c r="F56" i="12"/>
  <c r="F74" i="12"/>
  <c r="J74" i="12"/>
  <c r="K74" i="12" s="1"/>
  <c r="L74" i="12" s="1"/>
  <c r="M74" i="12" s="1"/>
  <c r="K26" i="12"/>
  <c r="L26" i="12" s="1"/>
  <c r="M26" i="12" s="1"/>
  <c r="K52" i="12"/>
  <c r="L52" i="12" s="1"/>
  <c r="M52" i="12" s="1"/>
  <c r="K46" i="12"/>
  <c r="L46" i="12" s="1"/>
  <c r="M46" i="12" s="1"/>
  <c r="K37" i="12"/>
  <c r="L37" i="12" s="1"/>
  <c r="M37" i="12" s="1"/>
  <c r="K34" i="12"/>
  <c r="L34" i="12" s="1"/>
  <c r="M34" i="12" s="1"/>
  <c r="K49" i="12"/>
  <c r="L49" i="12" s="1"/>
  <c r="M49" i="12" s="1"/>
  <c r="K31" i="12"/>
  <c r="L31" i="12" s="1"/>
  <c r="M31" i="12" s="1"/>
  <c r="K76" i="12"/>
  <c r="L76" i="12" s="1"/>
  <c r="M76" i="12" s="1"/>
  <c r="G10" i="12"/>
  <c r="P15" i="14" a="1"/>
  <c r="P15" i="14" s="1"/>
  <c r="P28" i="14" a="1"/>
  <c r="P28" i="14" s="1"/>
  <c r="O29" i="14" a="1"/>
  <c r="O29" i="14" s="1"/>
  <c r="O26" i="14" a="1"/>
  <c r="O26" i="14" s="1"/>
  <c r="P30" i="14" a="1"/>
  <c r="P30" i="14" s="1"/>
  <c r="O33" i="14" a="1"/>
  <c r="O33" i="14" s="1"/>
  <c r="P18" i="14" a="1"/>
  <c r="P18" i="14" s="1"/>
  <c r="P6" i="14" a="1"/>
  <c r="P6" i="14" s="1"/>
  <c r="O23" i="14" a="1"/>
  <c r="O23" i="14" s="1"/>
  <c r="P11" i="14" a="1"/>
  <c r="P11" i="14" s="1"/>
  <c r="O34" i="14" a="1"/>
  <c r="O34" i="14" s="1"/>
  <c r="P29" i="14" a="1"/>
  <c r="P29" i="14" s="1"/>
  <c r="O19" i="14" a="1"/>
  <c r="O19" i="14" s="1"/>
  <c r="P13" i="14" a="1"/>
  <c r="P13" i="14" s="1"/>
  <c r="P24" i="14" a="1"/>
  <c r="P24" i="14" s="1"/>
  <c r="O8" i="14" a="1"/>
  <c r="O8" i="14" s="1"/>
  <c r="P21" i="14" a="1"/>
  <c r="P21" i="14" s="1"/>
  <c r="P26" i="14" a="1"/>
  <c r="P26" i="14" s="1"/>
  <c r="O27" i="14" a="1"/>
  <c r="O27" i="14" s="1"/>
  <c r="O25" i="14" a="1"/>
  <c r="O25" i="14" s="1"/>
  <c r="P27" i="14" a="1"/>
  <c r="P27" i="14" s="1"/>
  <c r="O6" i="14" a="1"/>
  <c r="O6" i="14" s="1"/>
  <c r="P25" i="14" a="1"/>
  <c r="P25" i="14" s="1"/>
  <c r="C11" i="12"/>
  <c r="P23" i="14" a="1"/>
  <c r="P23" i="14" s="1"/>
  <c r="O24" i="14" a="1"/>
  <c r="O24" i="14" s="1"/>
  <c r="P19" i="14" a="1"/>
  <c r="P19" i="14" s="1"/>
  <c r="O15" i="14" a="1"/>
  <c r="O15" i="14" s="1"/>
  <c r="O20" i="14" a="1"/>
  <c r="O20" i="14" s="1"/>
  <c r="P22" i="14" a="1"/>
  <c r="P22" i="14" s="1"/>
  <c r="O9" i="14" a="1"/>
  <c r="O9" i="14" s="1"/>
  <c r="O13" i="14" a="1"/>
  <c r="O13" i="14" s="1"/>
  <c r="P7" i="14" a="1"/>
  <c r="P7" i="14" s="1"/>
  <c r="O14" i="14" a="1"/>
  <c r="O14" i="14" s="1"/>
  <c r="O28" i="14" a="1"/>
  <c r="O28" i="14" s="1"/>
  <c r="P8" i="14" a="1"/>
  <c r="P8" i="14" s="1"/>
  <c r="O11" i="14" a="1"/>
  <c r="O11" i="14" s="1"/>
  <c r="I11" i="12"/>
  <c r="K11" i="12" s="1"/>
  <c r="L11" i="12" s="1"/>
  <c r="M11" i="12" s="1"/>
  <c r="P34" i="14" a="1"/>
  <c r="P34" i="14" s="1"/>
  <c r="O4" i="14" a="1"/>
  <c r="O4" i="14" s="1"/>
  <c r="O12" i="14" a="1"/>
  <c r="O12" i="14" s="1"/>
  <c r="P12" i="14" a="1"/>
  <c r="P12" i="14" s="1"/>
  <c r="O17" i="14" a="1"/>
  <c r="O17" i="14" s="1"/>
  <c r="O21" i="14" a="1"/>
  <c r="O21" i="14" s="1"/>
  <c r="P5" i="14" a="1"/>
  <c r="P5" i="14" s="1"/>
  <c r="P3" i="14" a="1"/>
  <c r="P3" i="14" s="1"/>
  <c r="P14" i="14" a="1"/>
  <c r="P14" i="14" s="1"/>
  <c r="O10" i="14" a="1"/>
  <c r="O10" i="14" s="1"/>
  <c r="O16" i="14" a="1"/>
  <c r="O16" i="14" s="1"/>
  <c r="P16" i="14" a="1"/>
  <c r="P16" i="14" s="1"/>
  <c r="O30" i="14" a="1"/>
  <c r="O30" i="14" s="1"/>
  <c r="P31" i="14" a="1"/>
  <c r="P31" i="14" s="1"/>
  <c r="P17" i="14" a="1"/>
  <c r="P17" i="14" s="1"/>
  <c r="O5" i="14" a="1"/>
  <c r="O5" i="14" s="1"/>
  <c r="P9" i="14" a="1"/>
  <c r="P9" i="14" s="1"/>
  <c r="O31" i="14" a="1"/>
  <c r="O31" i="14" s="1"/>
  <c r="O32" i="14" a="1"/>
  <c r="O32" i="14" s="1"/>
  <c r="O7" i="14" a="1"/>
  <c r="O7" i="14" s="1"/>
  <c r="P32" i="14" a="1"/>
  <c r="P32" i="14" s="1"/>
  <c r="O22" i="14" a="1"/>
  <c r="O22" i="14" s="1"/>
  <c r="P20" i="14" a="1"/>
  <c r="P20" i="14" s="1"/>
  <c r="O18" i="14" a="1"/>
  <c r="O18" i="14" s="1"/>
  <c r="P4" i="14" a="1"/>
  <c r="P4" i="14" s="1"/>
  <c r="P33" i="14" a="1"/>
  <c r="P33" i="14" s="1"/>
  <c r="C80" i="12"/>
  <c r="I80" i="12"/>
  <c r="F53" i="12"/>
  <c r="J53" i="12"/>
  <c r="J47" i="12"/>
  <c r="F47" i="12"/>
  <c r="J71" i="12"/>
  <c r="F71" i="12"/>
  <c r="I20" i="12"/>
  <c r="C20" i="12"/>
  <c r="O3" i="14" a="1"/>
  <c r="O3" i="14" s="1"/>
  <c r="G58" i="12"/>
  <c r="G34" i="12"/>
  <c r="I71" i="12"/>
  <c r="C71" i="12"/>
  <c r="G19" i="12"/>
  <c r="C53" i="12"/>
  <c r="I53" i="12"/>
  <c r="F29" i="12"/>
  <c r="J29" i="12"/>
  <c r="C50" i="12"/>
  <c r="I50" i="12"/>
  <c r="C47" i="12"/>
  <c r="I47" i="12"/>
  <c r="C77" i="12"/>
  <c r="I77" i="12"/>
  <c r="F68" i="12"/>
  <c r="J68" i="12"/>
  <c r="G49" i="12"/>
  <c r="G46" i="12"/>
  <c r="G37" i="12"/>
  <c r="K28" i="12"/>
  <c r="L28" i="12" s="1"/>
  <c r="M28" i="12" s="1"/>
  <c r="I38" i="12"/>
  <c r="C38" i="12"/>
  <c r="J32" i="12"/>
  <c r="F32" i="12"/>
  <c r="F77" i="12"/>
  <c r="J77" i="12"/>
  <c r="K64" i="12"/>
  <c r="L64" i="12" s="1"/>
  <c r="M64" i="12" s="1"/>
  <c r="G52" i="12"/>
  <c r="C29" i="12"/>
  <c r="I29" i="12"/>
  <c r="F38" i="12"/>
  <c r="J38" i="12"/>
  <c r="C65" i="12"/>
  <c r="I65" i="12"/>
  <c r="F59" i="12"/>
  <c r="J59" i="12"/>
  <c r="F35" i="12"/>
  <c r="J35" i="12"/>
  <c r="F44" i="12"/>
  <c r="J44" i="12"/>
  <c r="F20" i="12"/>
  <c r="J20" i="12"/>
  <c r="K79" i="12"/>
  <c r="L79" i="12" s="1"/>
  <c r="M79" i="12" s="1"/>
  <c r="K67" i="12"/>
  <c r="L67" i="12" s="1"/>
  <c r="M67" i="12" s="1"/>
  <c r="F50" i="12"/>
  <c r="G50" i="12" s="1"/>
  <c r="J50" i="12"/>
  <c r="G43" i="12"/>
  <c r="C32" i="12"/>
  <c r="I32" i="12"/>
  <c r="E73" i="11"/>
  <c r="F73" i="11" s="1"/>
  <c r="P10" i="14" a="1"/>
  <c r="P10" i="14" s="1"/>
  <c r="J65" i="12"/>
  <c r="F65" i="12"/>
  <c r="I35" i="12"/>
  <c r="K35" i="12" s="1"/>
  <c r="L35" i="12" s="1"/>
  <c r="M35" i="12" s="1"/>
  <c r="C35" i="12"/>
  <c r="C44" i="12"/>
  <c r="I44" i="12"/>
  <c r="K58" i="12"/>
  <c r="L58" i="12" s="1"/>
  <c r="M58" i="12" s="1"/>
  <c r="K43" i="12"/>
  <c r="L43" i="12" s="1"/>
  <c r="M43" i="12" s="1"/>
  <c r="K19" i="12"/>
  <c r="L19" i="12" s="1"/>
  <c r="M19" i="12" s="1"/>
  <c r="G28" i="12"/>
  <c r="C59" i="12"/>
  <c r="I59" i="12"/>
  <c r="C68" i="12"/>
  <c r="I68" i="12"/>
  <c r="G31" i="12"/>
  <c r="J80" i="12"/>
  <c r="F80" i="12"/>
  <c r="AK29" i="10"/>
  <c r="E61" i="11"/>
  <c r="F61" i="11" s="1"/>
  <c r="AJ23" i="10"/>
  <c r="G26" i="12"/>
  <c r="AI7" i="10" a="1"/>
  <c r="AI7" i="10" s="1"/>
  <c r="AG21" i="10" a="1"/>
  <c r="AG21" i="10" s="1"/>
  <c r="AB19" i="9"/>
  <c r="AB7" i="9"/>
  <c r="AB10" i="9"/>
  <c r="AB23" i="9"/>
  <c r="AB29" i="9"/>
  <c r="AB39" i="9"/>
  <c r="AB27" i="9"/>
  <c r="AB38" i="9"/>
  <c r="AB18" i="9"/>
  <c r="AB30" i="9"/>
  <c r="AB15" i="9"/>
  <c r="AB33" i="9"/>
  <c r="AB8" i="9"/>
  <c r="AB31" i="9"/>
  <c r="AB13" i="9"/>
  <c r="AB40" i="9"/>
  <c r="B13" i="11"/>
  <c r="AG7" i="10" a="1"/>
  <c r="AG7" i="10" s="1"/>
  <c r="AF18" i="10"/>
  <c r="AJ18" i="10"/>
  <c r="AK18" i="10"/>
  <c r="B16" i="11"/>
  <c r="AF19" i="10"/>
  <c r="AK19" i="10"/>
  <c r="AJ19" i="10"/>
  <c r="AF11" i="10"/>
  <c r="AK11" i="10"/>
  <c r="AJ11" i="10"/>
  <c r="AB25" i="9"/>
  <c r="B43" i="11"/>
  <c r="AG17" i="10" a="1"/>
  <c r="AG17" i="10" s="1"/>
  <c r="AB6" i="9"/>
  <c r="AI5" i="10" a="1"/>
  <c r="AI5" i="10" s="1"/>
  <c r="E7" i="11"/>
  <c r="AB24" i="9"/>
  <c r="AI20" i="10" a="1"/>
  <c r="AI20" i="10" s="1"/>
  <c r="E52" i="11"/>
  <c r="AB12" i="9"/>
  <c r="AB11" i="9"/>
  <c r="AB37" i="9"/>
  <c r="AF14" i="10"/>
  <c r="AK14" i="10"/>
  <c r="AJ14" i="10"/>
  <c r="B73" i="11"/>
  <c r="AG27" i="10" a="1"/>
  <c r="AG27" i="10" s="1"/>
  <c r="AB28" i="9"/>
  <c r="B37" i="11"/>
  <c r="AG15" i="10" a="1"/>
  <c r="AG15" i="10" s="1"/>
  <c r="AB5" i="9"/>
  <c r="AB21" i="9"/>
  <c r="AB14" i="9"/>
  <c r="E64" i="11"/>
  <c r="AI24" i="10" a="1"/>
  <c r="AI24" i="10" s="1"/>
  <c r="AB26" i="9"/>
  <c r="AJ12" i="10"/>
  <c r="AK12" i="10"/>
  <c r="AF25" i="10"/>
  <c r="AK25" i="10"/>
  <c r="AJ25" i="10"/>
  <c r="E4" i="11"/>
  <c r="AI4" i="10" a="1"/>
  <c r="AI4" i="10" s="1"/>
  <c r="AB36" i="9"/>
  <c r="E55" i="11"/>
  <c r="AI21" i="10" a="1"/>
  <c r="AI21" i="10" s="1"/>
  <c r="E46" i="11"/>
  <c r="AI18" i="10" a="1"/>
  <c r="AI18" i="10" s="1"/>
  <c r="E58" i="11"/>
  <c r="AI22" i="10" a="1"/>
  <c r="AI22" i="10" s="1"/>
  <c r="AI11" i="10" a="1"/>
  <c r="AI11" i="10" s="1"/>
  <c r="E25" i="11"/>
  <c r="F13" i="11"/>
  <c r="J13" i="11"/>
  <c r="B14" i="11"/>
  <c r="AH17" i="10"/>
  <c r="AJ17" i="10"/>
  <c r="AK17" i="10"/>
  <c r="AF5" i="10"/>
  <c r="AJ5" i="10"/>
  <c r="AK5" i="10"/>
  <c r="AF20" i="10"/>
  <c r="AJ20" i="10"/>
  <c r="AK20" i="10"/>
  <c r="E34" i="11"/>
  <c r="AI14" i="10" a="1"/>
  <c r="AI14" i="10" s="1"/>
  <c r="AJ26" i="10"/>
  <c r="AK26" i="10"/>
  <c r="E37" i="11"/>
  <c r="AI15" i="10" a="1"/>
  <c r="AI15" i="10" s="1"/>
  <c r="AF16" i="10"/>
  <c r="AK16" i="10"/>
  <c r="AJ16" i="10"/>
  <c r="AF24" i="10"/>
  <c r="AJ24" i="10"/>
  <c r="AK24" i="10"/>
  <c r="B22" i="11"/>
  <c r="AG10" i="10" a="1"/>
  <c r="AG10" i="10" s="1"/>
  <c r="AI9" i="10" a="1"/>
  <c r="AI9" i="10" s="1"/>
  <c r="E19" i="11"/>
  <c r="AB4" i="9"/>
  <c r="B76" i="11"/>
  <c r="AG28" i="10" a="1"/>
  <c r="AG28" i="10" s="1"/>
  <c r="AB16" i="9"/>
  <c r="AB9" i="9"/>
  <c r="AB34" i="9"/>
  <c r="E31" i="11"/>
  <c r="AI13" i="10" a="1"/>
  <c r="AI13" i="10" s="1"/>
  <c r="AB32" i="9"/>
  <c r="B70" i="11"/>
  <c r="AG26" i="10" a="1"/>
  <c r="AG26" i="10" s="1"/>
  <c r="AB17" i="9"/>
  <c r="AK15" i="10"/>
  <c r="AJ15" i="10"/>
  <c r="E40" i="11"/>
  <c r="AI16" i="10" a="1"/>
  <c r="AI16" i="10" s="1"/>
  <c r="E28" i="11"/>
  <c r="AH10" i="10"/>
  <c r="AK10" i="10"/>
  <c r="AJ10" i="10"/>
  <c r="AF9" i="10"/>
  <c r="AJ9" i="10"/>
  <c r="AK9" i="10"/>
  <c r="AB35" i="9"/>
  <c r="B10" i="11"/>
  <c r="AG6" i="10" a="1"/>
  <c r="AG6" i="10" s="1"/>
  <c r="B79" i="11"/>
  <c r="AG29" i="10" a="1"/>
  <c r="AG29" i="10" s="1"/>
  <c r="AI19" i="10" a="1"/>
  <c r="AI19" i="10" s="1"/>
  <c r="E49" i="11"/>
  <c r="C61" i="11"/>
  <c r="I61" i="11"/>
  <c r="E62" i="11"/>
  <c r="E56" i="11"/>
  <c r="C55" i="11"/>
  <c r="I55" i="11"/>
  <c r="J79" i="11"/>
  <c r="B80" i="11"/>
  <c r="F79" i="11"/>
  <c r="AH28" i="10"/>
  <c r="AJ28" i="10"/>
  <c r="AK28" i="10"/>
  <c r="I58" i="11"/>
  <c r="E59" i="11"/>
  <c r="C58" i="11"/>
  <c r="AF13" i="10"/>
  <c r="AK13" i="10"/>
  <c r="AJ13" i="10"/>
  <c r="AI26" i="10" a="1"/>
  <c r="AI26" i="10" s="1"/>
  <c r="E70" i="11"/>
  <c r="AB22" i="9"/>
  <c r="B28" i="11"/>
  <c r="AG12" i="10" a="1"/>
  <c r="AG12" i="10" s="1"/>
  <c r="E67" i="11"/>
  <c r="AI25" i="10" a="1"/>
  <c r="AI25" i="10" s="1"/>
  <c r="AJ4" i="10"/>
  <c r="AK4" i="10"/>
  <c r="AH6" i="10"/>
  <c r="AK6" i="10"/>
  <c r="AJ6" i="10"/>
  <c r="L62" i="12"/>
  <c r="M62" i="12" s="1"/>
  <c r="W61" i="11"/>
  <c r="AG4" i="10" l="1" a="1"/>
  <c r="AG4" i="10" s="1"/>
  <c r="AI8" i="10" a="1"/>
  <c r="AI8" i="10" s="1"/>
  <c r="E16" i="11"/>
  <c r="J73" i="11"/>
  <c r="AD16" i="4"/>
  <c r="AB17" i="4"/>
  <c r="AC16" i="4"/>
  <c r="W17" i="4"/>
  <c r="Q17" i="4"/>
  <c r="B74" i="11"/>
  <c r="C74" i="11" s="1"/>
  <c r="K59" i="12"/>
  <c r="L59" i="12" s="1"/>
  <c r="M59" i="12" s="1"/>
  <c r="K68" i="12"/>
  <c r="L68" i="12" s="1"/>
  <c r="M68" i="12" s="1"/>
  <c r="K44" i="12"/>
  <c r="L44" i="12" s="1"/>
  <c r="M44" i="12" s="1"/>
  <c r="K38" i="12"/>
  <c r="L38" i="12" s="1"/>
  <c r="M38" i="12" s="1"/>
  <c r="G23" i="12"/>
  <c r="G5" i="12"/>
  <c r="J61" i="11"/>
  <c r="K61" i="11" s="1"/>
  <c r="G41" i="12"/>
  <c r="G20" i="12"/>
  <c r="B62" i="11"/>
  <c r="C62" i="11" s="1"/>
  <c r="G17" i="12"/>
  <c r="G14" i="12"/>
  <c r="K65" i="12"/>
  <c r="L65" i="12" s="1"/>
  <c r="M65" i="12" s="1"/>
  <c r="K29" i="12"/>
  <c r="L29" i="12" s="1"/>
  <c r="M29" i="12" s="1"/>
  <c r="K53" i="12"/>
  <c r="L53" i="12" s="1"/>
  <c r="M53" i="12" s="1"/>
  <c r="K71" i="12"/>
  <c r="L71" i="12" s="1"/>
  <c r="M71" i="12" s="1"/>
  <c r="G47" i="12"/>
  <c r="K32" i="12"/>
  <c r="L32" i="12" s="1"/>
  <c r="M32" i="12" s="1"/>
  <c r="G56" i="12"/>
  <c r="G44" i="12"/>
  <c r="G59" i="12"/>
  <c r="G38" i="12"/>
  <c r="G29" i="12"/>
  <c r="O46" i="14" a="1"/>
  <c r="O46" i="14" s="1"/>
  <c r="O45" i="14" a="1"/>
  <c r="O45" i="14" s="1"/>
  <c r="O42" i="14" a="1"/>
  <c r="O42" i="14" s="1"/>
  <c r="O40" i="14"/>
  <c r="O43" i="14" a="1"/>
  <c r="O43" i="14" s="1"/>
  <c r="O44" i="14" a="1"/>
  <c r="O44" i="14" s="1"/>
  <c r="O47" i="14" a="1"/>
  <c r="O47" i="14" s="1"/>
  <c r="O41" i="14" a="1"/>
  <c r="O41" i="14" s="1"/>
  <c r="O48" i="14" a="1"/>
  <c r="O48" i="14" s="1"/>
  <c r="G53" i="12"/>
  <c r="K77" i="12"/>
  <c r="L77" i="12" s="1"/>
  <c r="M77" i="12" s="1"/>
  <c r="K50" i="12"/>
  <c r="L50" i="12" s="1"/>
  <c r="M50" i="12" s="1"/>
  <c r="K80" i="12"/>
  <c r="L80" i="12" s="1"/>
  <c r="M80" i="12" s="1"/>
  <c r="P44" i="14" a="1"/>
  <c r="P44" i="14" s="1"/>
  <c r="P47" i="14" a="1"/>
  <c r="P47" i="14" s="1"/>
  <c r="P43" i="14" a="1"/>
  <c r="P43" i="14" s="1"/>
  <c r="P45" i="14" a="1"/>
  <c r="P45" i="14" s="1"/>
  <c r="P40" i="14"/>
  <c r="P41" i="14" a="1"/>
  <c r="P41" i="14" s="1"/>
  <c r="P46" i="14" a="1"/>
  <c r="P46" i="14" s="1"/>
  <c r="P48" i="14" a="1"/>
  <c r="P48" i="14" s="1"/>
  <c r="P42" i="14" a="1"/>
  <c r="P42" i="14" s="1"/>
  <c r="G35" i="12"/>
  <c r="K20" i="12"/>
  <c r="G32" i="12"/>
  <c r="K47" i="12"/>
  <c r="L47" i="12" s="1"/>
  <c r="M47" i="12" s="1"/>
  <c r="G11" i="12"/>
  <c r="I28" i="11"/>
  <c r="C28" i="11"/>
  <c r="E29" i="11"/>
  <c r="F59" i="11"/>
  <c r="J59" i="11"/>
  <c r="E76" i="11"/>
  <c r="AI28" i="10" a="1"/>
  <c r="AI28" i="10" s="1"/>
  <c r="B64" i="11"/>
  <c r="AG24" i="10" a="1"/>
  <c r="AG24" i="10" s="1"/>
  <c r="B52" i="11"/>
  <c r="AG20" i="10" a="1"/>
  <c r="AG20" i="10" s="1"/>
  <c r="F4" i="11"/>
  <c r="B5" i="11"/>
  <c r="J4" i="11"/>
  <c r="J64" i="11"/>
  <c r="B65" i="11"/>
  <c r="F64" i="11"/>
  <c r="I73" i="11"/>
  <c r="E74" i="11"/>
  <c r="C73" i="11"/>
  <c r="B49" i="11"/>
  <c r="AG19" i="10" a="1"/>
  <c r="AG19" i="10" s="1"/>
  <c r="E80" i="11"/>
  <c r="I79" i="11"/>
  <c r="K79" i="11" s="1"/>
  <c r="C79" i="11"/>
  <c r="E22" i="11"/>
  <c r="AI10" i="10" a="1"/>
  <c r="AI10" i="10" s="1"/>
  <c r="F40" i="11"/>
  <c r="J40" i="11"/>
  <c r="B41" i="11"/>
  <c r="F31" i="11"/>
  <c r="J31" i="11"/>
  <c r="B32" i="11"/>
  <c r="E5" i="11"/>
  <c r="C4" i="11"/>
  <c r="I4" i="11"/>
  <c r="C22" i="11"/>
  <c r="E23" i="11"/>
  <c r="I22" i="11"/>
  <c r="F37" i="11"/>
  <c r="B38" i="11"/>
  <c r="J37" i="11"/>
  <c r="J34" i="11"/>
  <c r="B35" i="11"/>
  <c r="F34" i="11"/>
  <c r="J58" i="11"/>
  <c r="K58" i="11" s="1"/>
  <c r="B59" i="11"/>
  <c r="F58" i="11"/>
  <c r="J55" i="11"/>
  <c r="K55" i="11" s="1"/>
  <c r="B56" i="11"/>
  <c r="F55" i="11"/>
  <c r="E38" i="11"/>
  <c r="C37" i="11"/>
  <c r="I37" i="11"/>
  <c r="B8" i="11"/>
  <c r="F7" i="11"/>
  <c r="J7" i="11"/>
  <c r="C43" i="11"/>
  <c r="I43" i="11"/>
  <c r="E44" i="11"/>
  <c r="B25" i="11"/>
  <c r="AG11" i="10" a="1"/>
  <c r="AG11" i="10" s="1"/>
  <c r="AG18" i="10" a="1"/>
  <c r="AG18" i="10" s="1"/>
  <c r="B46" i="11"/>
  <c r="J70" i="11"/>
  <c r="B71" i="11"/>
  <c r="F70" i="11"/>
  <c r="B31" i="11"/>
  <c r="AG13" i="10" a="1"/>
  <c r="AG13" i="10" s="1"/>
  <c r="C80" i="11"/>
  <c r="I80" i="11"/>
  <c r="F56" i="11"/>
  <c r="J56" i="11"/>
  <c r="B50" i="11"/>
  <c r="F49" i="11"/>
  <c r="J49" i="11"/>
  <c r="B19" i="11"/>
  <c r="AG9" i="10" a="1"/>
  <c r="AG9" i="10" s="1"/>
  <c r="C70" i="11"/>
  <c r="E71" i="11"/>
  <c r="I70" i="11"/>
  <c r="C76" i="11"/>
  <c r="E77" i="11"/>
  <c r="I76" i="11"/>
  <c r="F19" i="11"/>
  <c r="J19" i="11"/>
  <c r="B20" i="11"/>
  <c r="E43" i="11"/>
  <c r="AI17" i="10" a="1"/>
  <c r="AI17" i="10" s="1"/>
  <c r="J25" i="11"/>
  <c r="B26" i="11"/>
  <c r="F25" i="11"/>
  <c r="C16" i="11"/>
  <c r="I16" i="11"/>
  <c r="E17" i="11"/>
  <c r="E10" i="11"/>
  <c r="AI6" i="10" a="1"/>
  <c r="AI6" i="10" s="1"/>
  <c r="F67" i="11"/>
  <c r="J67" i="11"/>
  <c r="B68" i="11"/>
  <c r="F62" i="11"/>
  <c r="J62" i="11"/>
  <c r="C10" i="11"/>
  <c r="E11" i="11"/>
  <c r="I10" i="11"/>
  <c r="B29" i="11"/>
  <c r="F28" i="11"/>
  <c r="J28" i="11"/>
  <c r="B40" i="11"/>
  <c r="AG16" i="10" a="1"/>
  <c r="AG16" i="10" s="1"/>
  <c r="B7" i="11"/>
  <c r="AG5" i="10" a="1"/>
  <c r="AG5" i="10" s="1"/>
  <c r="C14" i="11"/>
  <c r="I14" i="11"/>
  <c r="B47" i="11"/>
  <c r="F46" i="11"/>
  <c r="J46" i="11"/>
  <c r="B67" i="11"/>
  <c r="AG25" i="10" a="1"/>
  <c r="AG25" i="10" s="1"/>
  <c r="B34" i="11"/>
  <c r="AG14" i="10" a="1"/>
  <c r="AG14" i="10" s="1"/>
  <c r="F52" i="11"/>
  <c r="J52" i="11"/>
  <c r="B53" i="11"/>
  <c r="I13" i="11"/>
  <c r="K13" i="11" s="1"/>
  <c r="E14" i="11"/>
  <c r="C13" i="11"/>
  <c r="W79" i="11"/>
  <c r="W37" i="11"/>
  <c r="W55" i="11"/>
  <c r="W70" i="11"/>
  <c r="W73" i="11"/>
  <c r="W58" i="11"/>
  <c r="W62" i="11"/>
  <c r="W28" i="11"/>
  <c r="W4" i="11"/>
  <c r="W13" i="11"/>
  <c r="K73" i="11" l="1"/>
  <c r="L73" i="11" s="1"/>
  <c r="M73" i="11" s="1"/>
  <c r="J16" i="11"/>
  <c r="K16" i="11" s="1"/>
  <c r="L16" i="11" s="1"/>
  <c r="M16" i="11" s="1"/>
  <c r="B17" i="11"/>
  <c r="F16" i="11"/>
  <c r="K4" i="11"/>
  <c r="I74" i="11"/>
  <c r="AD17" i="4"/>
  <c r="AB18" i="4"/>
  <c r="AC17" i="4"/>
  <c r="AE16" i="4"/>
  <c r="W18" i="4"/>
  <c r="Q18" i="4"/>
  <c r="K70" i="11"/>
  <c r="L70" i="11" s="1"/>
  <c r="M70" i="11" s="1"/>
  <c r="I62" i="11"/>
  <c r="K62" i="11" s="1"/>
  <c r="AJ89" i="12" a="1"/>
  <c r="AJ89" i="12" s="1"/>
  <c r="AG87" i="12" a="1"/>
  <c r="AG87" i="12" s="1"/>
  <c r="AE83" i="12" a="1"/>
  <c r="AE83" i="12" s="1"/>
  <c r="H89" i="12" a="1"/>
  <c r="H89" i="12" s="1"/>
  <c r="W88" i="12" a="1"/>
  <c r="W88" i="12" s="1"/>
  <c r="AE89" i="12" a="1"/>
  <c r="AE89" i="12" s="1"/>
  <c r="W86" i="12" a="1"/>
  <c r="W86" i="12" s="1"/>
  <c r="J84" i="12" a="1"/>
  <c r="J84" i="12" s="1"/>
  <c r="P87" i="12" a="1"/>
  <c r="P87" i="12" s="1"/>
  <c r="AJ84" i="12" a="1"/>
  <c r="AJ84" i="12" s="1"/>
  <c r="W89" i="12" a="1"/>
  <c r="W89" i="12" s="1"/>
  <c r="V83" i="12" a="1"/>
  <c r="V83" i="12" s="1"/>
  <c r="AB88" i="12" a="1"/>
  <c r="AB88" i="12" s="1"/>
  <c r="V86" i="12" a="1"/>
  <c r="V86" i="12" s="1"/>
  <c r="H85" i="12" a="1"/>
  <c r="H85" i="12" s="1"/>
  <c r="J89" i="12" a="1"/>
  <c r="J89" i="12" s="1"/>
  <c r="H86" i="12" a="1"/>
  <c r="H86" i="12" s="1"/>
  <c r="W84" i="12" a="1"/>
  <c r="W84" i="12" s="1"/>
  <c r="P86" i="12" a="1"/>
  <c r="P86" i="12" s="1"/>
  <c r="AD82" i="12" a="1"/>
  <c r="AD82" i="12" s="1"/>
  <c r="K89" i="12" a="1"/>
  <c r="K89" i="12" s="1"/>
  <c r="AB84" i="12" a="1"/>
  <c r="AB84" i="12" s="1"/>
  <c r="AD89" i="12" a="1"/>
  <c r="AD89" i="12" s="1"/>
  <c r="AB82" i="12" a="1"/>
  <c r="AB82" i="12" s="1"/>
  <c r="O82" i="12" a="1"/>
  <c r="O82" i="12" s="1"/>
  <c r="AB83" i="12" a="1"/>
  <c r="AB83" i="12" s="1"/>
  <c r="AJ82" i="12" a="1"/>
  <c r="AJ82" i="12" s="1"/>
  <c r="O88" i="12" a="1"/>
  <c r="O88" i="12" s="1"/>
  <c r="AF85" i="12" a="1"/>
  <c r="AF85" i="12" s="1"/>
  <c r="AB87" i="12" a="1"/>
  <c r="AB87" i="12" s="1"/>
  <c r="K85" i="12" a="1"/>
  <c r="K85" i="12" s="1"/>
  <c r="AD85" i="12" a="1"/>
  <c r="AD85" i="12" s="1"/>
  <c r="AF82" i="12" a="1"/>
  <c r="AF82" i="12" s="1"/>
  <c r="AC87" i="12" a="1"/>
  <c r="AC87" i="12" s="1"/>
  <c r="AH82" i="12" a="1"/>
  <c r="AH82" i="12" s="1"/>
  <c r="AK83" i="12" a="1"/>
  <c r="AK83" i="12" s="1"/>
  <c r="AG85" i="12" a="1"/>
  <c r="AG85" i="12" s="1"/>
  <c r="P84" i="12" a="1"/>
  <c r="P84" i="12" s="1"/>
  <c r="AG83" i="12" a="1"/>
  <c r="AG83" i="12" s="1"/>
  <c r="K83" i="12" a="1"/>
  <c r="K83" i="12" s="1"/>
  <c r="K87" i="12" a="1"/>
  <c r="K87" i="12" s="1"/>
  <c r="H82" i="12" a="1"/>
  <c r="H82" i="12" s="1"/>
  <c r="P83" i="12" a="1"/>
  <c r="P83" i="12" s="1"/>
  <c r="K82" i="12" a="1"/>
  <c r="K82" i="12" s="1"/>
  <c r="AE87" i="12" a="1"/>
  <c r="AE87" i="12" s="1"/>
  <c r="AD84" i="12" a="1"/>
  <c r="AD84" i="12" s="1"/>
  <c r="AC82" i="12" a="1"/>
  <c r="AC82" i="12" s="1"/>
  <c r="O83" i="12" a="1"/>
  <c r="O83" i="12" s="1"/>
  <c r="AC84" i="12" a="1"/>
  <c r="AC84" i="12" s="1"/>
  <c r="AF87" i="12" a="1"/>
  <c r="AF87" i="12" s="1"/>
  <c r="AH89" i="12" a="1"/>
  <c r="AH89" i="12" s="1"/>
  <c r="N82" i="12" a="1"/>
  <c r="N82" i="12" s="1"/>
  <c r="O87" i="12" a="1"/>
  <c r="O87" i="12" s="1"/>
  <c r="AJ85" i="12" a="1"/>
  <c r="AJ85" i="12" s="1"/>
  <c r="N87" i="12" a="1"/>
  <c r="N87" i="12" s="1"/>
  <c r="J86" i="12" a="1"/>
  <c r="J86" i="12" s="1"/>
  <c r="V85" i="12" a="1"/>
  <c r="V85" i="12" s="1"/>
  <c r="AK82" i="12" a="1"/>
  <c r="AK82" i="12" s="1"/>
  <c r="AC83" i="12" a="1"/>
  <c r="AC83" i="12" s="1"/>
  <c r="V88" i="12" a="1"/>
  <c r="V88" i="12" s="1"/>
  <c r="AG82" i="12" a="1"/>
  <c r="AG82" i="12" s="1"/>
  <c r="H83" i="12" a="1"/>
  <c r="H83" i="12" s="1"/>
  <c r="W82" i="12" a="1"/>
  <c r="W82" i="12" s="1"/>
  <c r="AC86" i="12" a="1"/>
  <c r="AC86" i="12" s="1"/>
  <c r="AB86" i="12" a="1"/>
  <c r="AB86" i="12" s="1"/>
  <c r="AI88" i="12" a="1"/>
  <c r="AI88" i="12" s="1"/>
  <c r="AI86" i="12" a="1"/>
  <c r="AI86" i="12" s="1"/>
  <c r="AI84" i="12" a="1"/>
  <c r="AI84" i="12" s="1"/>
  <c r="AF84" i="12" a="1"/>
  <c r="AF84" i="12" s="1"/>
  <c r="AD88" i="12" a="1"/>
  <c r="AD88" i="12" s="1"/>
  <c r="AH86" i="12" a="1"/>
  <c r="AH86" i="12" s="1"/>
  <c r="H88" i="12" a="1"/>
  <c r="H88" i="12" s="1"/>
  <c r="AH84" i="12" a="1"/>
  <c r="AH84" i="12" s="1"/>
  <c r="V84" i="12" a="1"/>
  <c r="V84" i="12" s="1"/>
  <c r="AJ83" i="12" a="1"/>
  <c r="AJ83" i="12" s="1"/>
  <c r="N88" i="12" a="1"/>
  <c r="N88" i="12" s="1"/>
  <c r="K86" i="12" a="1"/>
  <c r="K86" i="12" s="1"/>
  <c r="N85" i="12" a="1"/>
  <c r="N85" i="12" s="1"/>
  <c r="AE84" i="12" a="1"/>
  <c r="AE84" i="12" s="1"/>
  <c r="H84" i="12" a="1"/>
  <c r="H84" i="12" s="1"/>
  <c r="AG86" i="12" a="1"/>
  <c r="AG86" i="12" s="1"/>
  <c r="AK84" i="12" a="1"/>
  <c r="AK84" i="12" s="1"/>
  <c r="P89" i="12" a="1"/>
  <c r="P89" i="12" s="1"/>
  <c r="AF86" i="12" a="1"/>
  <c r="AF86" i="12" s="1"/>
  <c r="AI82" i="12" a="1"/>
  <c r="AI82" i="12" s="1"/>
  <c r="AC85" i="12" a="1"/>
  <c r="AC85" i="12" s="1"/>
  <c r="N84" i="12" a="1"/>
  <c r="N84" i="12" s="1"/>
  <c r="AJ86" i="12" a="1"/>
  <c r="AJ86" i="12" s="1"/>
  <c r="AI85" i="12" a="1"/>
  <c r="AI85" i="12" s="1"/>
  <c r="W85" i="12" a="1"/>
  <c r="W85" i="12" s="1"/>
  <c r="J87" i="12" a="1"/>
  <c r="J87" i="12" s="1"/>
  <c r="AH83" i="12" a="1"/>
  <c r="AH83" i="12" s="1"/>
  <c r="O89" i="12" a="1"/>
  <c r="O89" i="12" s="1"/>
  <c r="H87" i="12" a="1"/>
  <c r="H87" i="12" s="1"/>
  <c r="W83" i="12" a="1"/>
  <c r="W83" i="12" s="1"/>
  <c r="V87" i="12" a="1"/>
  <c r="V87" i="12" s="1"/>
  <c r="AC89" i="12" a="1"/>
  <c r="AC89" i="12" s="1"/>
  <c r="AD86" i="12" a="1"/>
  <c r="AD86" i="12" s="1"/>
  <c r="AK86" i="12" a="1"/>
  <c r="AK86" i="12" s="1"/>
  <c r="P88" i="12" a="1"/>
  <c r="P88" i="12" s="1"/>
  <c r="AD83" i="12" a="1"/>
  <c r="AD83" i="12" s="1"/>
  <c r="J82" i="12" a="1"/>
  <c r="J82" i="12" s="1"/>
  <c r="AK85" i="12" a="1"/>
  <c r="AK85" i="12" s="1"/>
  <c r="AK89" i="12" a="1"/>
  <c r="AK89" i="12" s="1"/>
  <c r="O84" i="12" a="1"/>
  <c r="O84" i="12" s="1"/>
  <c r="AE88" i="12" a="1"/>
  <c r="AE88" i="12" s="1"/>
  <c r="AI89" i="12" a="1"/>
  <c r="AI89" i="12" s="1"/>
  <c r="J88" i="12" a="1"/>
  <c r="J88" i="12" s="1"/>
  <c r="AJ88" i="12" a="1"/>
  <c r="AJ88" i="12" s="1"/>
  <c r="N83" i="12" a="1"/>
  <c r="N83" i="12" s="1"/>
  <c r="O85" i="12" a="1"/>
  <c r="O85" i="12" s="1"/>
  <c r="P82" i="12" a="1"/>
  <c r="P82" i="12" s="1"/>
  <c r="AE82" i="12" a="1"/>
  <c r="AE82" i="12" s="1"/>
  <c r="AK87" i="12" a="1"/>
  <c r="AK87" i="12" s="1"/>
  <c r="AB85" i="12" a="1"/>
  <c r="AB85" i="12" s="1"/>
  <c r="J83" i="12" a="1"/>
  <c r="J83" i="12" s="1"/>
  <c r="V89" i="12" a="1"/>
  <c r="V89" i="12" s="1"/>
  <c r="AH88" i="12" a="1"/>
  <c r="AH88" i="12" s="1"/>
  <c r="N86" i="12" a="1"/>
  <c r="N86" i="12" s="1"/>
  <c r="AD87" i="12" a="1"/>
  <c r="AD87" i="12" s="1"/>
  <c r="AI83" i="12" a="1"/>
  <c r="AI83" i="12" s="1"/>
  <c r="K88" i="12" a="1"/>
  <c r="K88" i="12" s="1"/>
  <c r="K84" i="12" a="1"/>
  <c r="K84" i="12" s="1"/>
  <c r="AK88" i="12" a="1"/>
  <c r="AK88" i="12" s="1"/>
  <c r="V82" i="12" a="1"/>
  <c r="V82" i="12" s="1"/>
  <c r="AF89" i="12" a="1"/>
  <c r="AF89" i="12" s="1"/>
  <c r="O86" i="12" a="1"/>
  <c r="O86" i="12" s="1"/>
  <c r="AF83" i="12" a="1"/>
  <c r="AF83" i="12" s="1"/>
  <c r="AG89" i="12" a="1"/>
  <c r="AG89" i="12" s="1"/>
  <c r="AG84" i="12" a="1"/>
  <c r="AG84" i="12" s="1"/>
  <c r="AC88" i="12" a="1"/>
  <c r="AC88" i="12" s="1"/>
  <c r="AH85" i="12" a="1"/>
  <c r="AH85" i="12" s="1"/>
  <c r="AJ87" i="12" a="1"/>
  <c r="AJ87" i="12" s="1"/>
  <c r="AF88" i="12" a="1"/>
  <c r="AF88" i="12" s="1"/>
  <c r="N89" i="12" a="1"/>
  <c r="N89" i="12" s="1"/>
  <c r="W87" i="12" a="1"/>
  <c r="W87" i="12" s="1"/>
  <c r="AI87" i="12" a="1"/>
  <c r="AI87" i="12" s="1"/>
  <c r="AE86" i="12" a="1"/>
  <c r="AE86" i="12" s="1"/>
  <c r="P85" i="12" a="1"/>
  <c r="P85" i="12" s="1"/>
  <c r="J85" i="12" a="1"/>
  <c r="J85" i="12" s="1"/>
  <c r="AE85" i="12" a="1"/>
  <c r="AE85" i="12" s="1"/>
  <c r="AH87" i="12" a="1"/>
  <c r="AH87" i="12" s="1"/>
  <c r="AG88" i="12" a="1"/>
  <c r="AG88" i="12" s="1"/>
  <c r="AB89" i="12" a="1"/>
  <c r="AB89" i="12" s="1"/>
  <c r="L20" i="12"/>
  <c r="K81" i="12"/>
  <c r="AB13" i="11"/>
  <c r="AC13" i="11" s="1"/>
  <c r="L13" i="11"/>
  <c r="M13" i="11" s="1"/>
  <c r="AB58" i="11"/>
  <c r="AC58" i="11" s="1"/>
  <c r="L58" i="11"/>
  <c r="M58" i="11" s="1"/>
  <c r="AB55" i="11"/>
  <c r="AC55" i="11" s="1"/>
  <c r="L55" i="11"/>
  <c r="M55" i="11" s="1"/>
  <c r="C47" i="11"/>
  <c r="I47" i="11"/>
  <c r="J17" i="11"/>
  <c r="F17" i="11"/>
  <c r="B44" i="11"/>
  <c r="F43" i="11"/>
  <c r="G43" i="11" s="1"/>
  <c r="J43" i="11"/>
  <c r="K43" i="11" s="1"/>
  <c r="F71" i="11"/>
  <c r="J71" i="11"/>
  <c r="C31" i="11"/>
  <c r="E32" i="11"/>
  <c r="I31" i="11"/>
  <c r="K31" i="11" s="1"/>
  <c r="C46" i="11"/>
  <c r="I46" i="11"/>
  <c r="K46" i="11" s="1"/>
  <c r="E47" i="11"/>
  <c r="F44" i="11"/>
  <c r="J44" i="11"/>
  <c r="F38" i="11"/>
  <c r="J38" i="11"/>
  <c r="C38" i="11"/>
  <c r="I38" i="11"/>
  <c r="AB4" i="11"/>
  <c r="AC4" i="11" s="1"/>
  <c r="L4" i="11"/>
  <c r="M4" i="11" s="1"/>
  <c r="AB79" i="11"/>
  <c r="AC79" i="11" s="1"/>
  <c r="L79" i="11"/>
  <c r="M79" i="11" s="1"/>
  <c r="I65" i="11"/>
  <c r="C65" i="11"/>
  <c r="F29" i="11"/>
  <c r="J29" i="11"/>
  <c r="E68" i="11"/>
  <c r="C67" i="11"/>
  <c r="I67" i="11"/>
  <c r="K67" i="11" s="1"/>
  <c r="E8" i="11"/>
  <c r="C7" i="11"/>
  <c r="I7" i="11"/>
  <c r="K7" i="11" s="1"/>
  <c r="AB16" i="11"/>
  <c r="AC16" i="11" s="1"/>
  <c r="C26" i="11"/>
  <c r="I26" i="11"/>
  <c r="C20" i="11"/>
  <c r="I20" i="11"/>
  <c r="F77" i="11"/>
  <c r="J77" i="11"/>
  <c r="I8" i="11"/>
  <c r="C8" i="11"/>
  <c r="C59" i="11"/>
  <c r="G59" i="11" s="1"/>
  <c r="I59" i="11"/>
  <c r="K59" i="11" s="1"/>
  <c r="C35" i="11"/>
  <c r="I35" i="11"/>
  <c r="G4" i="11"/>
  <c r="F80" i="11"/>
  <c r="J80" i="11"/>
  <c r="K80" i="11" s="1"/>
  <c r="F74" i="11"/>
  <c r="J74" i="11"/>
  <c r="I64" i="11"/>
  <c r="K64" i="11" s="1"/>
  <c r="C64" i="11"/>
  <c r="E65" i="11"/>
  <c r="F76" i="11"/>
  <c r="J76" i="11"/>
  <c r="K76" i="11" s="1"/>
  <c r="B77" i="11"/>
  <c r="G28" i="11"/>
  <c r="C29" i="11"/>
  <c r="I29" i="11"/>
  <c r="J11" i="11"/>
  <c r="F11" i="11"/>
  <c r="G58" i="11"/>
  <c r="C50" i="11"/>
  <c r="I50" i="11"/>
  <c r="I71" i="11"/>
  <c r="C71" i="11"/>
  <c r="K37" i="11"/>
  <c r="C56" i="11"/>
  <c r="I56" i="11"/>
  <c r="K56" i="11" s="1"/>
  <c r="F5" i="11"/>
  <c r="J5" i="11"/>
  <c r="C41" i="11"/>
  <c r="I41" i="11"/>
  <c r="J22" i="11"/>
  <c r="K22" i="11" s="1"/>
  <c r="B23" i="11"/>
  <c r="F22" i="11"/>
  <c r="G55" i="11"/>
  <c r="AB73" i="11"/>
  <c r="AC73" i="11" s="1"/>
  <c r="L61" i="11"/>
  <c r="M61" i="11" s="1"/>
  <c r="AB61" i="11"/>
  <c r="AC61" i="11" s="1"/>
  <c r="K28" i="11"/>
  <c r="F14" i="11"/>
  <c r="J14" i="11"/>
  <c r="K14" i="11" s="1"/>
  <c r="I53" i="11"/>
  <c r="C53" i="11"/>
  <c r="E35" i="11"/>
  <c r="C34" i="11"/>
  <c r="I34" i="11"/>
  <c r="K34" i="11" s="1"/>
  <c r="C40" i="11"/>
  <c r="E41" i="11"/>
  <c r="I40" i="11"/>
  <c r="K40" i="11" s="1"/>
  <c r="C68" i="11"/>
  <c r="I68" i="11"/>
  <c r="B11" i="11"/>
  <c r="F10" i="11"/>
  <c r="J10" i="11"/>
  <c r="K10" i="11" s="1"/>
  <c r="AB70" i="11"/>
  <c r="AC70" i="11" s="1"/>
  <c r="E20" i="11"/>
  <c r="C19" i="11"/>
  <c r="I19" i="11"/>
  <c r="K19" i="11" s="1"/>
  <c r="C25" i="11"/>
  <c r="I25" i="11"/>
  <c r="K25" i="11" s="1"/>
  <c r="E26" i="11"/>
  <c r="G37" i="11"/>
  <c r="G13" i="11"/>
  <c r="F23" i="11"/>
  <c r="J23" i="11"/>
  <c r="C32" i="11"/>
  <c r="I32" i="11"/>
  <c r="E50" i="11"/>
  <c r="C49" i="11"/>
  <c r="I49" i="11"/>
  <c r="K49" i="11" s="1"/>
  <c r="C5" i="11"/>
  <c r="I5" i="11"/>
  <c r="I52" i="11"/>
  <c r="K52" i="11" s="1"/>
  <c r="E53" i="11"/>
  <c r="C52" i="11"/>
  <c r="N35" i="14" a="1"/>
  <c r="N35" i="14" s="1"/>
  <c r="W46" i="11"/>
  <c r="W64" i="11"/>
  <c r="W74" i="11"/>
  <c r="W40" i="11"/>
  <c r="W49" i="11"/>
  <c r="W59" i="11"/>
  <c r="W76" i="11"/>
  <c r="W56" i="11"/>
  <c r="W43" i="11"/>
  <c r="W38" i="11"/>
  <c r="W67" i="11"/>
  <c r="W80" i="11"/>
  <c r="W71" i="11"/>
  <c r="W52" i="11"/>
  <c r="AP8" i="7"/>
  <c r="W25" i="11"/>
  <c r="BC5" i="7"/>
  <c r="W34" i="11"/>
  <c r="W31" i="11"/>
  <c r="AQ8" i="7"/>
  <c r="W29" i="11"/>
  <c r="BD5" i="7"/>
  <c r="BC8" i="7"/>
  <c r="W22" i="11"/>
  <c r="W5" i="11"/>
  <c r="W7" i="11"/>
  <c r="W19" i="11"/>
  <c r="W14" i="11"/>
  <c r="W10" i="11"/>
  <c r="K74" i="11" l="1"/>
  <c r="G16" i="11"/>
  <c r="C17" i="11"/>
  <c r="I17" i="11"/>
  <c r="K17" i="11" s="1"/>
  <c r="L17" i="11" s="1"/>
  <c r="M17" i="11" s="1"/>
  <c r="AB19" i="4"/>
  <c r="AC18" i="4"/>
  <c r="AD18" i="4"/>
  <c r="AE17" i="4"/>
  <c r="BE5" i="7"/>
  <c r="BC44" i="7" a="1"/>
  <c r="BC44" i="7" s="1"/>
  <c r="BC46" i="7" a="1"/>
  <c r="BC46" i="7" s="1"/>
  <c r="BC45" i="7" a="1"/>
  <c r="BC45" i="7" s="1"/>
  <c r="BC43" i="7" a="1"/>
  <c r="BC43" i="7" s="1"/>
  <c r="BC47" i="7" a="1"/>
  <c r="BC47" i="7" s="1"/>
  <c r="BC41" i="7"/>
  <c r="BC42" i="7" a="1"/>
  <c r="BC42" i="7" s="1"/>
  <c r="W19" i="4"/>
  <c r="AR8" i="7"/>
  <c r="AP48" i="7" a="1"/>
  <c r="AP48" i="7" s="1"/>
  <c r="AP44" i="7" a="1"/>
  <c r="AP44" i="7" s="1"/>
  <c r="AP42" i="7" a="1"/>
  <c r="AP42" i="7" s="1"/>
  <c r="AP47" i="7" a="1"/>
  <c r="AP47" i="7" s="1"/>
  <c r="AP45" i="7" a="1"/>
  <c r="AP45" i="7" s="1"/>
  <c r="AP41" i="7"/>
  <c r="AP43" i="7" a="1"/>
  <c r="AP43" i="7" s="1"/>
  <c r="AP49" i="7" a="1"/>
  <c r="AP49" i="7" s="1"/>
  <c r="AP46" i="7" a="1"/>
  <c r="AP46" i="7" s="1"/>
  <c r="Q19" i="4"/>
  <c r="M20" i="12"/>
  <c r="L89" i="12" a="1"/>
  <c r="L89" i="12" s="1"/>
  <c r="L87" i="12" a="1"/>
  <c r="L87" i="12" s="1"/>
  <c r="L86" i="12" a="1"/>
  <c r="L86" i="12" s="1"/>
  <c r="L84" i="12" a="1"/>
  <c r="L84" i="12" s="1"/>
  <c r="L85" i="12" a="1"/>
  <c r="L85" i="12" s="1"/>
  <c r="L83" i="12" a="1"/>
  <c r="L83" i="12" s="1"/>
  <c r="L81" i="12"/>
  <c r="L88" i="12" a="1"/>
  <c r="L88" i="12" s="1"/>
  <c r="L82" i="12" a="1"/>
  <c r="L82" i="12" s="1"/>
  <c r="M10" i="14" a="1"/>
  <c r="M10" i="14" s="1"/>
  <c r="J10" i="14" s="1"/>
  <c r="M22" i="14" a="1"/>
  <c r="M22" i="14" s="1"/>
  <c r="J22" i="14" s="1"/>
  <c r="K71" i="11"/>
  <c r="L71" i="11" s="1"/>
  <c r="M71" i="11" s="1"/>
  <c r="K29" i="11"/>
  <c r="L29" i="11" s="1"/>
  <c r="M29" i="11" s="1"/>
  <c r="K5" i="11"/>
  <c r="L5" i="11" s="1"/>
  <c r="M4" i="14" a="1"/>
  <c r="M4" i="14" s="1"/>
  <c r="J4" i="14" s="1"/>
  <c r="D4" i="14" s="1"/>
  <c r="M28" i="14" a="1"/>
  <c r="M28" i="14" s="1"/>
  <c r="J28" i="14" s="1"/>
  <c r="D28" i="14" s="1"/>
  <c r="M26" i="14" a="1"/>
  <c r="M26" i="14" s="1"/>
  <c r="J26" i="14" s="1"/>
  <c r="M23" i="14" a="1"/>
  <c r="M23" i="14" s="1"/>
  <c r="J23" i="14" s="1"/>
  <c r="G38" i="11"/>
  <c r="M17" i="14" a="1"/>
  <c r="M17" i="14" s="1"/>
  <c r="J17" i="14" s="1"/>
  <c r="L62" i="11"/>
  <c r="M62" i="11" s="1"/>
  <c r="AB62" i="11"/>
  <c r="AC62" i="11" s="1"/>
  <c r="AD61" i="11" s="1"/>
  <c r="L76" i="11"/>
  <c r="M76" i="11" s="1"/>
  <c r="AB76" i="11"/>
  <c r="AC76" i="11" s="1"/>
  <c r="AB14" i="11"/>
  <c r="AC14" i="11" s="1"/>
  <c r="AD14" i="11" s="1"/>
  <c r="L14" i="11"/>
  <c r="M14" i="11" s="1"/>
  <c r="AB74" i="11"/>
  <c r="AC74" i="11" s="1"/>
  <c r="AD74" i="11" s="1"/>
  <c r="L74" i="11"/>
  <c r="M74" i="11" s="1"/>
  <c r="AB22" i="11"/>
  <c r="AC22" i="11" s="1"/>
  <c r="L22" i="11"/>
  <c r="M22" i="11" s="1"/>
  <c r="AB80" i="11"/>
  <c r="AC80" i="11" s="1"/>
  <c r="AD80" i="11" s="1"/>
  <c r="L80" i="11"/>
  <c r="M80" i="11" s="1"/>
  <c r="L67" i="11"/>
  <c r="M67" i="11" s="1"/>
  <c r="AB67" i="11"/>
  <c r="AC67" i="11" s="1"/>
  <c r="AB10" i="11"/>
  <c r="AC10" i="11" s="1"/>
  <c r="L10" i="11"/>
  <c r="M10" i="11" s="1"/>
  <c r="G52" i="11"/>
  <c r="M32" i="14" a="1"/>
  <c r="M32" i="14" s="1"/>
  <c r="J32" i="14" s="1"/>
  <c r="G25" i="11"/>
  <c r="C11" i="11"/>
  <c r="G11" i="11" s="1"/>
  <c r="I11" i="11"/>
  <c r="K11" i="11" s="1"/>
  <c r="M8" i="14" a="1"/>
  <c r="M8" i="14" s="1"/>
  <c r="J8" i="14" s="1"/>
  <c r="AB40" i="11"/>
  <c r="AC40" i="11" s="1"/>
  <c r="L40" i="11"/>
  <c r="M40" i="11" s="1"/>
  <c r="G34" i="11"/>
  <c r="M35" i="14" a="1"/>
  <c r="M35" i="14" s="1"/>
  <c r="J35" i="14" s="1"/>
  <c r="M16" i="14" a="1"/>
  <c r="M16" i="14" s="1"/>
  <c r="J16" i="14" s="1"/>
  <c r="AB56" i="11"/>
  <c r="AC56" i="11" s="1"/>
  <c r="AD56" i="11" s="1"/>
  <c r="L56" i="11"/>
  <c r="M56" i="11" s="1"/>
  <c r="AB64" i="11"/>
  <c r="AC64" i="11" s="1"/>
  <c r="L64" i="11"/>
  <c r="M64" i="11" s="1"/>
  <c r="M24" i="14" a="1"/>
  <c r="M24" i="14" s="1"/>
  <c r="J24" i="14" s="1"/>
  <c r="M5" i="14" a="1"/>
  <c r="M5" i="14" s="1"/>
  <c r="J5" i="14" s="1"/>
  <c r="AB59" i="11"/>
  <c r="AC59" i="11" s="1"/>
  <c r="AD59" i="11" s="1"/>
  <c r="L59" i="11"/>
  <c r="M59" i="11" s="1"/>
  <c r="L43" i="11"/>
  <c r="M43" i="11" s="1"/>
  <c r="AB43" i="11"/>
  <c r="AC43" i="11" s="1"/>
  <c r="G7" i="11"/>
  <c r="M12" i="14" a="1"/>
  <c r="M12" i="14" s="1"/>
  <c r="J12" i="14" s="1"/>
  <c r="M18" i="14" a="1"/>
  <c r="M18" i="14" s="1"/>
  <c r="J18" i="14" s="1"/>
  <c r="D18" i="14" s="1"/>
  <c r="L31" i="11"/>
  <c r="M31" i="11" s="1"/>
  <c r="AB31" i="11"/>
  <c r="AC31" i="11" s="1"/>
  <c r="M30" i="14" a="1"/>
  <c r="M30" i="14" s="1"/>
  <c r="J30" i="14" s="1"/>
  <c r="F53" i="11"/>
  <c r="G53" i="11" s="1"/>
  <c r="J53" i="11"/>
  <c r="K53" i="11" s="1"/>
  <c r="AB49" i="11"/>
  <c r="AC49" i="11" s="1"/>
  <c r="L49" i="11"/>
  <c r="M49" i="11" s="1"/>
  <c r="AB19" i="11"/>
  <c r="AC19" i="11" s="1"/>
  <c r="L19" i="11"/>
  <c r="M19" i="11" s="1"/>
  <c r="F41" i="11"/>
  <c r="J41" i="11"/>
  <c r="K41" i="11" s="1"/>
  <c r="F35" i="11"/>
  <c r="J35" i="11"/>
  <c r="K35" i="11" s="1"/>
  <c r="G14" i="11"/>
  <c r="C23" i="11"/>
  <c r="G23" i="11" s="1"/>
  <c r="I23" i="11"/>
  <c r="K23" i="11" s="1"/>
  <c r="M27" i="14" a="1"/>
  <c r="M27" i="14" s="1"/>
  <c r="J27" i="14" s="1"/>
  <c r="M14" i="14" a="1"/>
  <c r="M14" i="14" s="1"/>
  <c r="J14" i="14" s="1"/>
  <c r="D14" i="14" s="1"/>
  <c r="AB71" i="11"/>
  <c r="AC71" i="11" s="1"/>
  <c r="AD70" i="11" s="1"/>
  <c r="M7" i="14" a="1"/>
  <c r="M7" i="14" s="1"/>
  <c r="J7" i="14" s="1"/>
  <c r="M33" i="14" a="1"/>
  <c r="M33" i="14" s="1"/>
  <c r="J33" i="14" s="1"/>
  <c r="F8" i="11"/>
  <c r="J8" i="11"/>
  <c r="K8" i="11" s="1"/>
  <c r="F68" i="11"/>
  <c r="J68" i="11"/>
  <c r="K68" i="11" s="1"/>
  <c r="M19" i="14" a="1"/>
  <c r="M19" i="14" s="1"/>
  <c r="J19" i="14" s="1"/>
  <c r="M31" i="14" a="1"/>
  <c r="M31" i="14" s="1"/>
  <c r="J31" i="14" s="1"/>
  <c r="F47" i="11"/>
  <c r="J47" i="11"/>
  <c r="K47" i="11" s="1"/>
  <c r="J32" i="11"/>
  <c r="K32" i="11" s="1"/>
  <c r="F32" i="11"/>
  <c r="G32" i="11" s="1"/>
  <c r="C44" i="11"/>
  <c r="I44" i="11"/>
  <c r="K44" i="11" s="1"/>
  <c r="AB52" i="11"/>
  <c r="AC52" i="11" s="1"/>
  <c r="L52" i="11"/>
  <c r="M52" i="11" s="1"/>
  <c r="G49" i="11"/>
  <c r="M20" i="14" a="1"/>
  <c r="M20" i="14" s="1"/>
  <c r="J20" i="14" s="1"/>
  <c r="F26" i="11"/>
  <c r="J26" i="11"/>
  <c r="K26" i="11" s="1"/>
  <c r="G19" i="11"/>
  <c r="G40" i="11"/>
  <c r="AB28" i="11"/>
  <c r="AC28" i="11" s="1"/>
  <c r="L28" i="11"/>
  <c r="M28" i="11" s="1"/>
  <c r="G5" i="11"/>
  <c r="M21" i="14" a="1"/>
  <c r="M21" i="14" s="1"/>
  <c r="J21" i="14" s="1"/>
  <c r="M15" i="14" a="1"/>
  <c r="M15" i="14" s="1"/>
  <c r="J15" i="14" s="1"/>
  <c r="L37" i="11"/>
  <c r="M37" i="11" s="1"/>
  <c r="AB37" i="11"/>
  <c r="AC37" i="11" s="1"/>
  <c r="J65" i="11"/>
  <c r="K65" i="11" s="1"/>
  <c r="F65" i="11"/>
  <c r="M9" i="14" a="1"/>
  <c r="M9" i="14" s="1"/>
  <c r="J9" i="14" s="1"/>
  <c r="M25" i="14" a="1"/>
  <c r="M25" i="14" s="1"/>
  <c r="J25" i="14" s="1"/>
  <c r="M34" i="14" a="1"/>
  <c r="M34" i="14" s="1"/>
  <c r="J34" i="14" s="1"/>
  <c r="G22" i="11"/>
  <c r="AB46" i="11"/>
  <c r="AC46" i="11" s="1"/>
  <c r="L46" i="11"/>
  <c r="M46" i="11" s="1"/>
  <c r="G31" i="11"/>
  <c r="G17" i="11"/>
  <c r="F50" i="11"/>
  <c r="J50" i="11"/>
  <c r="K50" i="11" s="1"/>
  <c r="AB25" i="11"/>
  <c r="AC25" i="11" s="1"/>
  <c r="L25" i="11"/>
  <c r="M25" i="11" s="1"/>
  <c r="F20" i="11"/>
  <c r="J20" i="11"/>
  <c r="K20" i="11" s="1"/>
  <c r="G10" i="11"/>
  <c r="AB34" i="11"/>
  <c r="AC34" i="11" s="1"/>
  <c r="L34" i="11"/>
  <c r="M34" i="11" s="1"/>
  <c r="M11" i="14" a="1"/>
  <c r="M11" i="14" s="1"/>
  <c r="J11" i="14" s="1"/>
  <c r="M3" i="14" a="1"/>
  <c r="M3" i="14" s="1"/>
  <c r="I77" i="11"/>
  <c r="K77" i="11" s="1"/>
  <c r="C77" i="11"/>
  <c r="M29" i="14" a="1"/>
  <c r="M29" i="14" s="1"/>
  <c r="J29" i="14" s="1"/>
  <c r="M6" i="14" a="1"/>
  <c r="M6" i="14" s="1"/>
  <c r="J6" i="14" s="1"/>
  <c r="AB7" i="11"/>
  <c r="AC7" i="11" s="1"/>
  <c r="L7" i="11"/>
  <c r="M7" i="11" s="1"/>
  <c r="G29" i="11"/>
  <c r="M13" i="14" a="1"/>
  <c r="M13" i="14" s="1"/>
  <c r="J13" i="14" s="1"/>
  <c r="K38" i="11"/>
  <c r="G46" i="11"/>
  <c r="G56" i="11"/>
  <c r="W68" i="11"/>
  <c r="W53" i="11"/>
  <c r="W47" i="11"/>
  <c r="W44" i="11"/>
  <c r="W41" i="11"/>
  <c r="W50" i="11"/>
  <c r="W65" i="11"/>
  <c r="W77" i="11"/>
  <c r="W11" i="11"/>
  <c r="W35" i="11"/>
  <c r="W26" i="11"/>
  <c r="W17" i="11"/>
  <c r="W16" i="11"/>
  <c r="W20" i="11"/>
  <c r="W8" i="11"/>
  <c r="W32" i="11"/>
  <c r="W23" i="11"/>
  <c r="AD13" i="11" l="1"/>
  <c r="AB5" i="11"/>
  <c r="AC5" i="11" s="1"/>
  <c r="AB17" i="11"/>
  <c r="AC17" i="11" s="1"/>
  <c r="AB29" i="11"/>
  <c r="AC29" i="11" s="1"/>
  <c r="AD29" i="11" s="1"/>
  <c r="AE18" i="4"/>
  <c r="AD19" i="4"/>
  <c r="AB20" i="4"/>
  <c r="AC19" i="4"/>
  <c r="W20" i="4"/>
  <c r="BF5" i="7"/>
  <c r="Q20" i="4"/>
  <c r="AS8" i="7"/>
  <c r="M84" i="12" a="1"/>
  <c r="M84" i="12" s="1"/>
  <c r="M81" i="12"/>
  <c r="M89" i="12" a="1"/>
  <c r="M89" i="12" s="1"/>
  <c r="M86" i="12" a="1"/>
  <c r="M86" i="12" s="1"/>
  <c r="M83" i="12" a="1"/>
  <c r="M83" i="12" s="1"/>
  <c r="M87" i="12" a="1"/>
  <c r="M87" i="12" s="1"/>
  <c r="M88" i="12" a="1"/>
  <c r="M88" i="12" s="1"/>
  <c r="M85" i="12" a="1"/>
  <c r="M85" i="12" s="1"/>
  <c r="M82" i="12" a="1"/>
  <c r="M82" i="12" s="1"/>
  <c r="AD73" i="11"/>
  <c r="AD58" i="11"/>
  <c r="AD79" i="11"/>
  <c r="AD55" i="11"/>
  <c r="AD62" i="11"/>
  <c r="W81" i="11"/>
  <c r="AB32" i="11"/>
  <c r="AC32" i="11" s="1"/>
  <c r="AD31" i="11" s="1"/>
  <c r="L32" i="11"/>
  <c r="M32" i="11" s="1"/>
  <c r="AB20" i="11"/>
  <c r="AC20" i="11" s="1"/>
  <c r="AD19" i="11" s="1"/>
  <c r="L20" i="11"/>
  <c r="M20" i="11" s="1"/>
  <c r="AB47" i="11"/>
  <c r="AC47" i="11" s="1"/>
  <c r="AD46" i="11" s="1"/>
  <c r="L47" i="11"/>
  <c r="M47" i="11" s="1"/>
  <c r="AB68" i="11"/>
  <c r="AC68" i="11" s="1"/>
  <c r="AD68" i="11" s="1"/>
  <c r="L68" i="11"/>
  <c r="M68" i="11" s="1"/>
  <c r="AB65" i="11"/>
  <c r="AC65" i="11" s="1"/>
  <c r="AD64" i="11" s="1"/>
  <c r="L65" i="11"/>
  <c r="M65" i="11" s="1"/>
  <c r="M44" i="14" a="1"/>
  <c r="M44" i="14" s="1"/>
  <c r="M47" i="14" a="1"/>
  <c r="M47" i="14" s="1"/>
  <c r="M40" i="14"/>
  <c r="M41" i="14" a="1"/>
  <c r="M41" i="14" s="1"/>
  <c r="M43" i="14" a="1"/>
  <c r="M43" i="14" s="1"/>
  <c r="M42" i="14" a="1"/>
  <c r="M42" i="14" s="1"/>
  <c r="M45" i="14" a="1"/>
  <c r="M45" i="14" s="1"/>
  <c r="J3" i="14"/>
  <c r="M46" i="14" a="1"/>
  <c r="M46" i="14" s="1"/>
  <c r="M48" i="14" a="1"/>
  <c r="M48" i="14" s="1"/>
  <c r="G20" i="11"/>
  <c r="AB26" i="11"/>
  <c r="AC26" i="11" s="1"/>
  <c r="AD25" i="11" s="1"/>
  <c r="L26" i="11"/>
  <c r="M26" i="11" s="1"/>
  <c r="K81" i="11"/>
  <c r="AB38" i="11"/>
  <c r="AC38" i="11" s="1"/>
  <c r="AD37" i="11" s="1"/>
  <c r="L38" i="11"/>
  <c r="M38" i="11" s="1"/>
  <c r="AB8" i="11"/>
  <c r="AC8" i="11" s="1"/>
  <c r="AD8" i="11" s="1"/>
  <c r="L8" i="11"/>
  <c r="M8" i="11" s="1"/>
  <c r="AB77" i="11"/>
  <c r="AC77" i="11" s="1"/>
  <c r="AD76" i="11" s="1"/>
  <c r="L77" i="11"/>
  <c r="M77" i="11" s="1"/>
  <c r="G50" i="11"/>
  <c r="AB35" i="11"/>
  <c r="AC35" i="11" s="1"/>
  <c r="AD35" i="11" s="1"/>
  <c r="L35" i="11"/>
  <c r="M35" i="11" s="1"/>
  <c r="L44" i="11"/>
  <c r="M44" i="11" s="1"/>
  <c r="AB44" i="11"/>
  <c r="AC44" i="11" s="1"/>
  <c r="AD43" i="11" s="1"/>
  <c r="G8" i="11"/>
  <c r="G41" i="11"/>
  <c r="AB41" i="11"/>
  <c r="AC41" i="11" s="1"/>
  <c r="AD40" i="11" s="1"/>
  <c r="L41" i="11"/>
  <c r="M41" i="11" s="1"/>
  <c r="M5" i="11"/>
  <c r="AB11" i="11"/>
  <c r="AC11" i="11" s="1"/>
  <c r="AD11" i="11" s="1"/>
  <c r="L11" i="11"/>
  <c r="M11" i="11" s="1"/>
  <c r="G47" i="11"/>
  <c r="AB23" i="11"/>
  <c r="AC23" i="11" s="1"/>
  <c r="AD22" i="11" s="1"/>
  <c r="L23" i="11"/>
  <c r="M23" i="11" s="1"/>
  <c r="G44" i="11"/>
  <c r="AB53" i="11"/>
  <c r="AC53" i="11" s="1"/>
  <c r="AD53" i="11" s="1"/>
  <c r="L53" i="11"/>
  <c r="M53" i="11" s="1"/>
  <c r="AB50" i="11"/>
  <c r="AC50" i="11" s="1"/>
  <c r="AD49" i="11" s="1"/>
  <c r="L50" i="11"/>
  <c r="M50" i="11" s="1"/>
  <c r="G26" i="11"/>
  <c r="G35" i="11"/>
  <c r="AD71" i="11"/>
  <c r="AD28" i="11" l="1"/>
  <c r="AD17" i="11"/>
  <c r="AD16" i="11"/>
  <c r="AD20" i="4"/>
  <c r="AB21" i="4"/>
  <c r="AC20" i="4"/>
  <c r="AE19" i="4"/>
  <c r="H5" i="7"/>
  <c r="W21" i="4"/>
  <c r="Q21" i="4"/>
  <c r="AD65" i="11"/>
  <c r="AD20" i="11"/>
  <c r="W87" i="11" a="1"/>
  <c r="W87" i="11" s="1"/>
  <c r="AD26" i="11"/>
  <c r="AI86" i="11" a="1"/>
  <c r="AI86" i="11" s="1"/>
  <c r="O86" i="11" a="1"/>
  <c r="O86" i="11" s="1"/>
  <c r="AJ82" i="11" a="1"/>
  <c r="AJ82" i="11" s="1"/>
  <c r="AD77" i="11"/>
  <c r="AH87" i="11" a="1"/>
  <c r="AH87" i="11" s="1"/>
  <c r="AD23" i="11"/>
  <c r="AD10" i="11"/>
  <c r="AG89" i="11" a="1"/>
  <c r="AG89" i="11" s="1"/>
  <c r="AD52" i="11"/>
  <c r="AD41" i="11"/>
  <c r="N85" i="11" a="1"/>
  <c r="N85" i="11" s="1"/>
  <c r="AD47" i="11"/>
  <c r="AD32" i="11"/>
  <c r="AK87" i="11" a="1"/>
  <c r="AK87" i="11" s="1"/>
  <c r="J82" i="11" a="1"/>
  <c r="J82" i="11" s="1"/>
  <c r="H85" i="11" a="1"/>
  <c r="H85" i="11" s="1"/>
  <c r="P86" i="11" a="1"/>
  <c r="P86" i="11" s="1"/>
  <c r="N89" i="11" a="1"/>
  <c r="N89" i="11" s="1"/>
  <c r="V84" i="11" a="1"/>
  <c r="V84" i="11" s="1"/>
  <c r="P82" i="11" a="1"/>
  <c r="P82" i="11" s="1"/>
  <c r="V85" i="11" a="1"/>
  <c r="V85" i="11" s="1"/>
  <c r="AD67" i="11"/>
  <c r="H84" i="11" a="1"/>
  <c r="H84" i="11" s="1"/>
  <c r="AC83" i="11" a="1"/>
  <c r="AC83" i="11" s="1"/>
  <c r="M86" i="11" a="1"/>
  <c r="M86" i="11" s="1"/>
  <c r="AD44" i="11"/>
  <c r="L87" i="11" a="1"/>
  <c r="L87" i="11" s="1"/>
  <c r="W86" i="11" a="1"/>
  <c r="W86" i="11" s="1"/>
  <c r="N82" i="11" a="1"/>
  <c r="N82" i="11" s="1"/>
  <c r="K85" i="11" a="1"/>
  <c r="K85" i="11" s="1"/>
  <c r="AE88" i="11" a="1"/>
  <c r="AE88" i="11" s="1"/>
  <c r="AJ87" i="11" a="1"/>
  <c r="AJ87" i="11" s="1"/>
  <c r="P87" i="11" a="1"/>
  <c r="P87" i="11" s="1"/>
  <c r="AG87" i="11" a="1"/>
  <c r="AG87" i="11" s="1"/>
  <c r="N87" i="11" a="1"/>
  <c r="N87" i="11" s="1"/>
  <c r="P88" i="11" a="1"/>
  <c r="P88" i="11" s="1"/>
  <c r="H82" i="11" a="1"/>
  <c r="H82" i="11" s="1"/>
  <c r="AB81" i="11"/>
  <c r="W83" i="11" a="1"/>
  <c r="W83" i="11" s="1"/>
  <c r="AF84" i="11" a="1"/>
  <c r="AF84" i="11" s="1"/>
  <c r="W89" i="11" a="1"/>
  <c r="W89" i="11" s="1"/>
  <c r="AG83" i="11" a="1"/>
  <c r="AG83" i="11" s="1"/>
  <c r="V82" i="11" a="1"/>
  <c r="V82" i="11" s="1"/>
  <c r="AK86" i="11" a="1"/>
  <c r="AK86" i="11" s="1"/>
  <c r="AE86" i="11" a="1"/>
  <c r="AE86" i="11" s="1"/>
  <c r="AF83" i="11" a="1"/>
  <c r="AF83" i="11" s="1"/>
  <c r="AI84" i="11" a="1"/>
  <c r="AI84" i="11" s="1"/>
  <c r="AK82" i="11" a="1"/>
  <c r="AK82" i="11" s="1"/>
  <c r="AE87" i="11" a="1"/>
  <c r="AE87" i="11" s="1"/>
  <c r="AI83" i="11" a="1"/>
  <c r="AI83" i="11" s="1"/>
  <c r="N88" i="11" a="1"/>
  <c r="N88" i="11" s="1"/>
  <c r="W84" i="11" a="1"/>
  <c r="W84" i="11" s="1"/>
  <c r="AE83" i="11" a="1"/>
  <c r="AE83" i="11" s="1"/>
  <c r="AH89" i="11" a="1"/>
  <c r="AH89" i="11" s="1"/>
  <c r="AI85" i="11" a="1"/>
  <c r="AI85" i="11" s="1"/>
  <c r="AD34" i="11"/>
  <c r="AD50" i="11"/>
  <c r="O83" i="11" a="1"/>
  <c r="O83" i="11" s="1"/>
  <c r="V86" i="11" a="1"/>
  <c r="V86" i="11" s="1"/>
  <c r="O82" i="11" a="1"/>
  <c r="O82" i="11" s="1"/>
  <c r="H88" i="11" a="1"/>
  <c r="H88" i="11" s="1"/>
  <c r="V89" i="11" a="1"/>
  <c r="V89" i="11" s="1"/>
  <c r="N86" i="11" a="1"/>
  <c r="N86" i="11" s="1"/>
  <c r="AB82" i="11" a="1"/>
  <c r="AB82" i="11" s="1"/>
  <c r="M84" i="11" a="1"/>
  <c r="M84" i="11" s="1"/>
  <c r="AB83" i="11" a="1"/>
  <c r="AB83" i="11" s="1"/>
  <c r="AB84" i="11" a="1"/>
  <c r="AB84" i="11" s="1"/>
  <c r="L82" i="11" a="1"/>
  <c r="L82" i="11" s="1"/>
  <c r="AB87" i="11" a="1"/>
  <c r="AB87" i="11" s="1"/>
  <c r="AD38" i="11"/>
  <c r="AD7" i="11"/>
  <c r="AC81" i="11"/>
  <c r="AD5" i="11"/>
  <c r="AD4" i="11"/>
  <c r="AH83" i="11" a="1"/>
  <c r="AH83" i="11" s="1"/>
  <c r="L89" i="11" a="1"/>
  <c r="L89" i="11" s="1"/>
  <c r="K89" i="11" a="1"/>
  <c r="K89" i="11" s="1"/>
  <c r="AH85" i="11" a="1"/>
  <c r="AH85" i="11" s="1"/>
  <c r="AI89" i="11" a="1"/>
  <c r="AI89" i="11" s="1"/>
  <c r="H86" i="11" a="1"/>
  <c r="H86" i="11" s="1"/>
  <c r="J83" i="11" a="1"/>
  <c r="J83" i="11" s="1"/>
  <c r="O87" i="11" a="1"/>
  <c r="O87" i="11" s="1"/>
  <c r="L81" i="11"/>
  <c r="V88" i="11" a="1"/>
  <c r="V88" i="11" s="1"/>
  <c r="AF87" i="11" a="1"/>
  <c r="AF87" i="11" s="1"/>
  <c r="AG86" i="11" a="1"/>
  <c r="AG86" i="11" s="1"/>
  <c r="J88" i="11" a="1"/>
  <c r="J88" i="11" s="1"/>
  <c r="AE89" i="11" a="1"/>
  <c r="AE89" i="11" s="1"/>
  <c r="AK85" i="11" a="1"/>
  <c r="AK85" i="11" s="1"/>
  <c r="AI87" i="11" a="1"/>
  <c r="AI87" i="11" s="1"/>
  <c r="N83" i="11" a="1"/>
  <c r="N83" i="11" s="1"/>
  <c r="M83" i="11" a="1"/>
  <c r="M83" i="11" s="1"/>
  <c r="O88" i="11" a="1"/>
  <c r="O88" i="11" s="1"/>
  <c r="V87" i="11" a="1"/>
  <c r="V87" i="11" s="1"/>
  <c r="J85" i="11" a="1"/>
  <c r="J85" i="11" s="1"/>
  <c r="AH82" i="11" a="1"/>
  <c r="AH82" i="11" s="1"/>
  <c r="AF89" i="11" a="1"/>
  <c r="AF89" i="11" s="1"/>
  <c r="W88" i="11" a="1"/>
  <c r="W88" i="11" s="1"/>
  <c r="P89" i="11" a="1"/>
  <c r="P89" i="11" s="1"/>
  <c r="W82" i="11" a="1"/>
  <c r="W82" i="11" s="1"/>
  <c r="H87" i="11" a="1"/>
  <c r="H87" i="11" s="1"/>
  <c r="M89" i="11" a="1"/>
  <c r="M89" i="11" s="1"/>
  <c r="L88" i="11" a="1"/>
  <c r="L88" i="11" s="1"/>
  <c r="AC85" i="11" a="1"/>
  <c r="AC85" i="11" s="1"/>
  <c r="AC87" i="11" a="1"/>
  <c r="AC87" i="11" s="1"/>
  <c r="AB89" i="11" a="1"/>
  <c r="AB89" i="11" s="1"/>
  <c r="J87" i="11" a="1"/>
  <c r="J87" i="11" s="1"/>
  <c r="K84" i="11" a="1"/>
  <c r="K84" i="11" s="1"/>
  <c r="K82" i="11" a="1"/>
  <c r="K82" i="11" s="1"/>
  <c r="AG85" i="11" a="1"/>
  <c r="AG85" i="11" s="1"/>
  <c r="AH86" i="11" a="1"/>
  <c r="AH86" i="11" s="1"/>
  <c r="AE82" i="11" a="1"/>
  <c r="AE82" i="11" s="1"/>
  <c r="J86" i="11" a="1"/>
  <c r="J86" i="11" s="1"/>
  <c r="AK84" i="11" a="1"/>
  <c r="AK84" i="11" s="1"/>
  <c r="J89" i="11" a="1"/>
  <c r="J89" i="11" s="1"/>
  <c r="M81" i="11"/>
  <c r="M87" i="11" a="1"/>
  <c r="M87" i="11" s="1"/>
  <c r="AG82" i="11" a="1"/>
  <c r="AG82" i="11" s="1"/>
  <c r="AG88" i="11" a="1"/>
  <c r="AG88" i="11" s="1"/>
  <c r="AF85" i="11" a="1"/>
  <c r="AF85" i="11" s="1"/>
  <c r="K83" i="11" a="1"/>
  <c r="K83" i="11" s="1"/>
  <c r="J84" i="11" a="1"/>
  <c r="J84" i="11" s="1"/>
  <c r="AG84" i="11" a="1"/>
  <c r="AG84" i="11" s="1"/>
  <c r="O85" i="11" a="1"/>
  <c r="O85" i="11" s="1"/>
  <c r="L85" i="11" a="1"/>
  <c r="L85" i="11" s="1"/>
  <c r="AJ86" i="11" a="1"/>
  <c r="AJ86" i="11" s="1"/>
  <c r="K87" i="11" a="1"/>
  <c r="K87" i="11" s="1"/>
  <c r="W85" i="11" a="1"/>
  <c r="W85" i="11" s="1"/>
  <c r="H89" i="11" a="1"/>
  <c r="H89" i="11" s="1"/>
  <c r="AE85" i="11" a="1"/>
  <c r="AE85" i="11" s="1"/>
  <c r="AJ83" i="11" a="1"/>
  <c r="AJ83" i="11" s="1"/>
  <c r="N84" i="11" a="1"/>
  <c r="N84" i="11" s="1"/>
  <c r="O84" i="11" a="1"/>
  <c r="O84" i="11" s="1"/>
  <c r="AB85" i="11" a="1"/>
  <c r="AB85" i="11" s="1"/>
  <c r="AC88" i="11" a="1"/>
  <c r="AC88" i="11" s="1"/>
  <c r="AB88" i="11" a="1"/>
  <c r="AB88" i="11" s="1"/>
  <c r="L83" i="11" a="1"/>
  <c r="L83" i="11" s="1"/>
  <c r="AC86" i="11" a="1"/>
  <c r="AC86" i="11" s="1"/>
  <c r="M85" i="11" a="1"/>
  <c r="M85" i="11" s="1"/>
  <c r="L86" i="11" a="1"/>
  <c r="L86" i="11" s="1"/>
  <c r="H83" i="11" a="1"/>
  <c r="H83" i="11" s="1"/>
  <c r="AK89" i="11" a="1"/>
  <c r="AK89" i="11" s="1"/>
  <c r="AI82" i="11" a="1"/>
  <c r="AI82" i="11" s="1"/>
  <c r="AB86" i="11" a="1"/>
  <c r="AB86" i="11" s="1"/>
  <c r="AH84" i="11" a="1"/>
  <c r="AH84" i="11" s="1"/>
  <c r="AJ89" i="11" a="1"/>
  <c r="AJ89" i="11" s="1"/>
  <c r="AI88" i="11" a="1"/>
  <c r="AI88" i="11" s="1"/>
  <c r="AJ84" i="11" a="1"/>
  <c r="AJ84" i="11" s="1"/>
  <c r="AF86" i="11" a="1"/>
  <c r="AF86" i="11" s="1"/>
  <c r="AF82" i="11" a="1"/>
  <c r="AF82" i="11" s="1"/>
  <c r="AH88" i="11" a="1"/>
  <c r="AH88" i="11" s="1"/>
  <c r="V83" i="11" a="1"/>
  <c r="V83" i="11" s="1"/>
  <c r="K88" i="11" a="1"/>
  <c r="K88" i="11" s="1"/>
  <c r="AK88" i="11" a="1"/>
  <c r="AK88" i="11" s="1"/>
  <c r="P84" i="11" a="1"/>
  <c r="P84" i="11" s="1"/>
  <c r="AJ88" i="11" a="1"/>
  <c r="AJ88" i="11" s="1"/>
  <c r="AE84" i="11" a="1"/>
  <c r="AE84" i="11" s="1"/>
  <c r="AF88" i="11" a="1"/>
  <c r="AF88" i="11" s="1"/>
  <c r="AK83" i="11" a="1"/>
  <c r="AK83" i="11" s="1"/>
  <c r="P85" i="11" a="1"/>
  <c r="P85" i="11" s="1"/>
  <c r="AJ85" i="11" a="1"/>
  <c r="AJ85" i="11" s="1"/>
  <c r="O89" i="11" a="1"/>
  <c r="O89" i="11" s="1"/>
  <c r="P83" i="11" a="1"/>
  <c r="P83" i="11" s="1"/>
  <c r="K86" i="11" a="1"/>
  <c r="K86" i="11" s="1"/>
  <c r="M88" i="11" a="1"/>
  <c r="M88" i="11" s="1"/>
  <c r="AC89" i="11" a="1"/>
  <c r="AC89" i="11" s="1"/>
  <c r="M82" i="11" a="1"/>
  <c r="M82" i="11" s="1"/>
  <c r="L84" i="11" a="1"/>
  <c r="L84" i="11" s="1"/>
  <c r="AC84" i="11" a="1"/>
  <c r="AC84" i="11" s="1"/>
  <c r="AC82" i="11" a="1"/>
  <c r="AC82" i="11" s="1"/>
  <c r="J48" i="14" a="1"/>
  <c r="J48" i="14" s="1"/>
  <c r="J41" i="14" a="1"/>
  <c r="J41" i="14" s="1"/>
  <c r="J47" i="14" a="1"/>
  <c r="J47" i="14" s="1"/>
  <c r="J42" i="14" a="1"/>
  <c r="J42" i="14" s="1"/>
  <c r="J46" i="14" a="1"/>
  <c r="J46" i="14" s="1"/>
  <c r="J43" i="14" a="1"/>
  <c r="J43" i="14" s="1"/>
  <c r="J45" i="14" a="1"/>
  <c r="J45" i="14" s="1"/>
  <c r="J44" i="14" a="1"/>
  <c r="J44" i="14" s="1"/>
  <c r="J40" i="14"/>
  <c r="AB22" i="4" l="1"/>
  <c r="AC21" i="4"/>
  <c r="AD21" i="4"/>
  <c r="AE20" i="4"/>
  <c r="W22" i="4"/>
  <c r="Q22" i="4"/>
  <c r="L10" i="14" a="1"/>
  <c r="L10" i="14" s="1"/>
  <c r="H10" i="14" s="1"/>
  <c r="AD83" i="11" a="1"/>
  <c r="AD83" i="11" s="1"/>
  <c r="L23" i="14" a="1"/>
  <c r="L23" i="14" s="1"/>
  <c r="H23" i="14" s="1"/>
  <c r="L16" i="14" a="1"/>
  <c r="L16" i="14" s="1"/>
  <c r="H16" i="14" s="1"/>
  <c r="AD84" i="11" a="1"/>
  <c r="AD84" i="11" s="1"/>
  <c r="L17" i="14" a="1"/>
  <c r="L17" i="14" s="1"/>
  <c r="H17" i="14" s="1"/>
  <c r="AD85" i="11" a="1"/>
  <c r="AD85" i="11" s="1"/>
  <c r="L3" i="14" a="1"/>
  <c r="L3" i="14" s="1"/>
  <c r="AD87" i="11" a="1"/>
  <c r="AD87" i="11" s="1"/>
  <c r="L24" i="14" a="1"/>
  <c r="L24" i="14" s="1"/>
  <c r="H24" i="14" s="1"/>
  <c r="L13" i="14" a="1"/>
  <c r="L13" i="14" s="1"/>
  <c r="H13" i="14" s="1"/>
  <c r="L8" i="14" a="1"/>
  <c r="L8" i="14" s="1"/>
  <c r="H8" i="14" s="1"/>
  <c r="L21" i="14" a="1"/>
  <c r="L21" i="14" s="1"/>
  <c r="H21" i="14" s="1"/>
  <c r="AD86" i="11" a="1"/>
  <c r="AD86" i="11" s="1"/>
  <c r="L20" i="14" a="1"/>
  <c r="L20" i="14" s="1"/>
  <c r="H20" i="14" s="1"/>
  <c r="L32" i="14" a="1"/>
  <c r="L32" i="14" s="1"/>
  <c r="H32" i="14" s="1"/>
  <c r="L22" i="14" a="1"/>
  <c r="L22" i="14" s="1"/>
  <c r="H22" i="14" s="1"/>
  <c r="L26" i="14" a="1"/>
  <c r="L26" i="14" s="1"/>
  <c r="H26" i="14" s="1"/>
  <c r="L31" i="14" a="1"/>
  <c r="L31" i="14" s="1"/>
  <c r="H31" i="14" s="1"/>
  <c r="L5" i="14" a="1"/>
  <c r="L5" i="14" s="1"/>
  <c r="H5" i="14" s="1"/>
  <c r="L6" i="14" a="1"/>
  <c r="L6" i="14" s="1"/>
  <c r="H6" i="14" s="1"/>
  <c r="L19" i="14" a="1"/>
  <c r="L19" i="14" s="1"/>
  <c r="H19" i="14" s="1"/>
  <c r="L27" i="14" a="1"/>
  <c r="L27" i="14" s="1"/>
  <c r="H27" i="14" s="1"/>
  <c r="AD88" i="11" a="1"/>
  <c r="AD88" i="11" s="1"/>
  <c r="L30" i="14" a="1"/>
  <c r="L30" i="14" s="1"/>
  <c r="H30" i="14" s="1"/>
  <c r="L35" i="14" a="1"/>
  <c r="L35" i="14" s="1"/>
  <c r="H35" i="14" s="1"/>
  <c r="L33" i="14" a="1"/>
  <c r="L33" i="14" s="1"/>
  <c r="H33" i="14" s="1"/>
  <c r="L14" i="14" a="1"/>
  <c r="L14" i="14" s="1"/>
  <c r="H14" i="14" s="1"/>
  <c r="L25" i="14" a="1"/>
  <c r="L25" i="14" s="1"/>
  <c r="H25" i="14" s="1"/>
  <c r="L11" i="14" a="1"/>
  <c r="L11" i="14" s="1"/>
  <c r="H11" i="14" s="1"/>
  <c r="L9" i="14" a="1"/>
  <c r="L9" i="14" s="1"/>
  <c r="H9" i="14" s="1"/>
  <c r="L15" i="14" a="1"/>
  <c r="L15" i="14" s="1"/>
  <c r="H15" i="14" s="1"/>
  <c r="AD89" i="11" a="1"/>
  <c r="AD89" i="11" s="1"/>
  <c r="L12" i="14" a="1"/>
  <c r="L12" i="14" s="1"/>
  <c r="H12" i="14" s="1"/>
  <c r="L18" i="14" a="1"/>
  <c r="L18" i="14" s="1"/>
  <c r="H18" i="14" s="1"/>
  <c r="L7" i="14" a="1"/>
  <c r="L7" i="14" s="1"/>
  <c r="H7" i="14" s="1"/>
  <c r="L4" i="14" a="1"/>
  <c r="L4" i="14" s="1"/>
  <c r="H4" i="14" s="1"/>
  <c r="AD81" i="11"/>
  <c r="AD82" i="11" a="1"/>
  <c r="AD82" i="11" s="1"/>
  <c r="L28" i="14" a="1"/>
  <c r="L28" i="14" s="1"/>
  <c r="H28" i="14" s="1"/>
  <c r="L34" i="14" a="1"/>
  <c r="L34" i="14" s="1"/>
  <c r="H34" i="14" s="1"/>
  <c r="L29" i="14" a="1"/>
  <c r="L29" i="14" s="1"/>
  <c r="H29" i="14" s="1"/>
  <c r="K35" i="14" a="1"/>
  <c r="K35" i="14" s="1"/>
  <c r="I35" i="14" s="1"/>
  <c r="BD31" i="7"/>
  <c r="AQ15" i="7"/>
  <c r="AQ27" i="7"/>
  <c r="AQ19" i="7"/>
  <c r="BD13" i="7"/>
  <c r="BD10" i="7"/>
  <c r="BD33" i="7"/>
  <c r="AQ31" i="7"/>
  <c r="BD15" i="7"/>
  <c r="AQ10" i="7"/>
  <c r="BD14" i="7"/>
  <c r="AQ13" i="7"/>
  <c r="BD19" i="7"/>
  <c r="BD8" i="7"/>
  <c r="BD12" i="7"/>
  <c r="AQ12" i="7"/>
  <c r="AQ17" i="7"/>
  <c r="BD27" i="7"/>
  <c r="AQ33" i="7"/>
  <c r="AQ14" i="7"/>
  <c r="BD17" i="7"/>
  <c r="AE21" i="4" l="1"/>
  <c r="AC22" i="4"/>
  <c r="AD22" i="4"/>
  <c r="AB23" i="4"/>
  <c r="BE13" i="7"/>
  <c r="BF13" i="7" s="1"/>
  <c r="BE8" i="7"/>
  <c r="BD47" i="7" a="1"/>
  <c r="BD47" i="7" s="1"/>
  <c r="BD43" i="7" a="1"/>
  <c r="BD43" i="7" s="1"/>
  <c r="BD49" i="7" a="1"/>
  <c r="BD49" i="7" s="1"/>
  <c r="BD48" i="7" a="1"/>
  <c r="BD48" i="7" s="1"/>
  <c r="BD42" i="7" a="1"/>
  <c r="BD42" i="7" s="1"/>
  <c r="BD45" i="7" a="1"/>
  <c r="BD45" i="7" s="1"/>
  <c r="BD41" i="7"/>
  <c r="BD44" i="7" a="1"/>
  <c r="BD44" i="7" s="1"/>
  <c r="BD46" i="7" a="1"/>
  <c r="BD46" i="7" s="1"/>
  <c r="BE31" i="7"/>
  <c r="BF31" i="7" s="1"/>
  <c r="BE17" i="7"/>
  <c r="BF17" i="7" s="1"/>
  <c r="BE33" i="7"/>
  <c r="BF33" i="7" s="1"/>
  <c r="BE14" i="7"/>
  <c r="BF14" i="7" s="1"/>
  <c r="BE19" i="7"/>
  <c r="BF19" i="7" s="1"/>
  <c r="BE27" i="7"/>
  <c r="BF27" i="7" s="1"/>
  <c r="BE12" i="7"/>
  <c r="BF12" i="7" s="1"/>
  <c r="BE15" i="7"/>
  <c r="BF15" i="7" s="1"/>
  <c r="BE10" i="7"/>
  <c r="BF10" i="7" s="1"/>
  <c r="W23" i="4"/>
  <c r="AR33" i="7"/>
  <c r="AS33" i="7" s="1"/>
  <c r="AR19" i="7"/>
  <c r="AS19" i="7" s="1"/>
  <c r="AR10" i="7"/>
  <c r="AQ47" i="7" a="1"/>
  <c r="AQ47" i="7" s="1"/>
  <c r="AQ46" i="7" a="1"/>
  <c r="AQ46" i="7" s="1"/>
  <c r="AQ44" i="7" a="1"/>
  <c r="AQ44" i="7" s="1"/>
  <c r="AQ45" i="7" a="1"/>
  <c r="AQ45" i="7" s="1"/>
  <c r="AQ41" i="7"/>
  <c r="AQ42" i="7" a="1"/>
  <c r="AQ42" i="7" s="1"/>
  <c r="AQ43" i="7" a="1"/>
  <c r="AQ43" i="7" s="1"/>
  <c r="AQ49" i="7" a="1"/>
  <c r="AQ49" i="7" s="1"/>
  <c r="AQ48" i="7" a="1"/>
  <c r="AQ48" i="7" s="1"/>
  <c r="AR27" i="7"/>
  <c r="AS27" i="7" s="1"/>
  <c r="AR13" i="7"/>
  <c r="AS13" i="7" s="1"/>
  <c r="AR14" i="7"/>
  <c r="AS14" i="7" s="1"/>
  <c r="AR15" i="7"/>
  <c r="AS15" i="7" s="1"/>
  <c r="AR31" i="7"/>
  <c r="AS31" i="7" s="1"/>
  <c r="AR12" i="7"/>
  <c r="AS12" i="7" s="1"/>
  <c r="AR17" i="7"/>
  <c r="AS17" i="7" s="1"/>
  <c r="Q23" i="4"/>
  <c r="H3" i="14"/>
  <c r="L44" i="14" a="1"/>
  <c r="L44" i="14" s="1"/>
  <c r="L45" i="14" a="1"/>
  <c r="L45" i="14" s="1"/>
  <c r="L48" i="14" a="1"/>
  <c r="L48" i="14" s="1"/>
  <c r="L40" i="14"/>
  <c r="L41" i="14" a="1"/>
  <c r="L41" i="14" s="1"/>
  <c r="L47" i="14" a="1"/>
  <c r="L47" i="14" s="1"/>
  <c r="L42" i="14" a="1"/>
  <c r="L42" i="14" s="1"/>
  <c r="L43" i="14" a="1"/>
  <c r="L43" i="14" s="1"/>
  <c r="L46" i="14" a="1"/>
  <c r="L46" i="14" s="1"/>
  <c r="D35" i="14"/>
  <c r="H17" i="7" l="1"/>
  <c r="H13" i="7"/>
  <c r="H33" i="7"/>
  <c r="H27" i="7"/>
  <c r="H14" i="7"/>
  <c r="AD23" i="4"/>
  <c r="AC23" i="4"/>
  <c r="AB24" i="4"/>
  <c r="AE22" i="4"/>
  <c r="BF8" i="7"/>
  <c r="BE43" i="7" a="1"/>
  <c r="BE43" i="7" s="1"/>
  <c r="BE47" i="7" a="1"/>
  <c r="BE47" i="7" s="1"/>
  <c r="BE46" i="7" a="1"/>
  <c r="BE46" i="7" s="1"/>
  <c r="BE49" i="7" a="1"/>
  <c r="BE49" i="7" s="1"/>
  <c r="BE42" i="7" a="1"/>
  <c r="BE42" i="7" s="1"/>
  <c r="BE45" i="7" a="1"/>
  <c r="BE45" i="7" s="1"/>
  <c r="BE48" i="7" a="1"/>
  <c r="BE48" i="7" s="1"/>
  <c r="BE41" i="7"/>
  <c r="BE44" i="7" a="1"/>
  <c r="BE44" i="7" s="1"/>
  <c r="AS10" i="7"/>
  <c r="H10" i="7" s="1"/>
  <c r="AR44" i="7" a="1"/>
  <c r="AR44" i="7" s="1"/>
  <c r="AR45" i="7" a="1"/>
  <c r="AR45" i="7" s="1"/>
  <c r="AR41" i="7"/>
  <c r="AR43" i="7" a="1"/>
  <c r="AR43" i="7" s="1"/>
  <c r="AR48" i="7" a="1"/>
  <c r="AR48" i="7" s="1"/>
  <c r="AR49" i="7" a="1"/>
  <c r="AR49" i="7" s="1"/>
  <c r="AR42" i="7" a="1"/>
  <c r="AR42" i="7" s="1"/>
  <c r="AR46" i="7" a="1"/>
  <c r="AR46" i="7" s="1"/>
  <c r="AR47" i="7" a="1"/>
  <c r="AR47" i="7" s="1"/>
  <c r="H43" i="14" a="1"/>
  <c r="H43" i="14" s="1"/>
  <c r="H47" i="14" a="1"/>
  <c r="H47" i="14" s="1"/>
  <c r="H44" i="14" a="1"/>
  <c r="H44" i="14" s="1"/>
  <c r="H41" i="14" a="1"/>
  <c r="H41" i="14" s="1"/>
  <c r="H48" i="14" a="1"/>
  <c r="H48" i="14" s="1"/>
  <c r="H42" i="14" a="1"/>
  <c r="H42" i="14" s="1"/>
  <c r="H46" i="14" a="1"/>
  <c r="H46" i="14" s="1"/>
  <c r="H40" i="14"/>
  <c r="H45" i="14" a="1"/>
  <c r="H45" i="14" s="1"/>
  <c r="AD24" i="4" l="1"/>
  <c r="AC24" i="4"/>
  <c r="AB25" i="4"/>
  <c r="AE23" i="4"/>
  <c r="T10" i="14" a="1"/>
  <c r="T10" i="14" s="1"/>
  <c r="T34" i="14" a="1"/>
  <c r="T34" i="14" s="1"/>
  <c r="T20" i="14" a="1"/>
  <c r="T20" i="14" s="1"/>
  <c r="T23" i="14" a="1"/>
  <c r="T23" i="14" s="1"/>
  <c r="T12" i="14" a="1"/>
  <c r="T12" i="14" s="1"/>
  <c r="T17" i="14" a="1"/>
  <c r="T17" i="14" s="1"/>
  <c r="BF49" i="7" a="1"/>
  <c r="BF49" i="7" s="1"/>
  <c r="T4" i="14" a="1"/>
  <c r="T4" i="14" s="1"/>
  <c r="T29" i="14" a="1"/>
  <c r="T29" i="14" s="1"/>
  <c r="T14" i="14" a="1"/>
  <c r="T14" i="14" s="1"/>
  <c r="T27" i="14" a="1"/>
  <c r="T27" i="14" s="1"/>
  <c r="H8" i="7"/>
  <c r="T3" i="14" a="1"/>
  <c r="T3" i="14" s="1"/>
  <c r="T18" i="14" a="1"/>
  <c r="T18" i="14" s="1"/>
  <c r="BF45" i="7" a="1"/>
  <c r="BF45" i="7" s="1"/>
  <c r="T33" i="14" a="1"/>
  <c r="T33" i="14" s="1"/>
  <c r="T25" i="14" a="1"/>
  <c r="T25" i="14" s="1"/>
  <c r="T15" i="14" a="1"/>
  <c r="T15" i="14" s="1"/>
  <c r="BF44" i="7" a="1"/>
  <c r="BF44" i="7" s="1"/>
  <c r="T31" i="14" a="1"/>
  <c r="T31" i="14" s="1"/>
  <c r="T30" i="14" a="1"/>
  <c r="T30" i="14" s="1"/>
  <c r="BF41" i="7"/>
  <c r="T7" i="14" a="1"/>
  <c r="T7" i="14" s="1"/>
  <c r="T13" i="14" a="1"/>
  <c r="T13" i="14" s="1"/>
  <c r="BF43" i="7" a="1"/>
  <c r="BF43" i="7" s="1"/>
  <c r="T22" i="14" a="1"/>
  <c r="T22" i="14" s="1"/>
  <c r="T32" i="14" a="1"/>
  <c r="T32" i="14" s="1"/>
  <c r="T5" i="14" a="1"/>
  <c r="T5" i="14" s="1"/>
  <c r="T21" i="14" a="1"/>
  <c r="T21" i="14" s="1"/>
  <c r="T24" i="14" a="1"/>
  <c r="T24" i="14" s="1"/>
  <c r="BF48" i="7" a="1"/>
  <c r="BF48" i="7" s="1"/>
  <c r="T16" i="14" a="1"/>
  <c r="T16" i="14" s="1"/>
  <c r="T8" i="14" a="1"/>
  <c r="T8" i="14" s="1"/>
  <c r="T6" i="14" a="1"/>
  <c r="T6" i="14" s="1"/>
  <c r="BF46" i="7" a="1"/>
  <c r="BF46" i="7" s="1"/>
  <c r="T11" i="14" a="1"/>
  <c r="T11" i="14" s="1"/>
  <c r="T28" i="14" a="1"/>
  <c r="T28" i="14" s="1"/>
  <c r="BF42" i="7" a="1"/>
  <c r="BF42" i="7" s="1"/>
  <c r="T19" i="14" a="1"/>
  <c r="T19" i="14" s="1"/>
  <c r="T9" i="14" a="1"/>
  <c r="T9" i="14" s="1"/>
  <c r="BF47" i="7" a="1"/>
  <c r="BF47" i="7" s="1"/>
  <c r="T26" i="14" a="1"/>
  <c r="T26" i="14" s="1"/>
  <c r="S22" i="14" a="1"/>
  <c r="S22" i="14" s="1"/>
  <c r="G22" i="14" s="1"/>
  <c r="S11" i="14" a="1"/>
  <c r="S11" i="14" s="1"/>
  <c r="S30" i="14" a="1"/>
  <c r="S30" i="14" s="1"/>
  <c r="AS48" i="7" a="1"/>
  <c r="AS48" i="7" s="1"/>
  <c r="S9" i="14" a="1"/>
  <c r="S9" i="14" s="1"/>
  <c r="S13" i="14" a="1"/>
  <c r="S13" i="14" s="1"/>
  <c r="G13" i="14" s="1"/>
  <c r="S26" i="14" a="1"/>
  <c r="S26" i="14" s="1"/>
  <c r="S19" i="14" a="1"/>
  <c r="S19" i="14" s="1"/>
  <c r="S23" i="14" a="1"/>
  <c r="S23" i="14" s="1"/>
  <c r="S24" i="14" a="1"/>
  <c r="S24" i="14" s="1"/>
  <c r="S18" i="14" a="1"/>
  <c r="S18" i="14" s="1"/>
  <c r="S32" i="14" a="1"/>
  <c r="S32" i="14" s="1"/>
  <c r="AS43" i="7" a="1"/>
  <c r="AS43" i="7" s="1"/>
  <c r="AS41" i="7"/>
  <c r="S33" i="14" a="1"/>
  <c r="S33" i="14" s="1"/>
  <c r="S5" i="14" a="1"/>
  <c r="S5" i="14" s="1"/>
  <c r="S7" i="14" a="1"/>
  <c r="S7" i="14" s="1"/>
  <c r="S34" i="14" a="1"/>
  <c r="S34" i="14" s="1"/>
  <c r="S10" i="14" a="1"/>
  <c r="S10" i="14" s="1"/>
  <c r="G10" i="14" s="1"/>
  <c r="S8" i="14" a="1"/>
  <c r="S8" i="14" s="1"/>
  <c r="S28" i="14" a="1"/>
  <c r="S28" i="14" s="1"/>
  <c r="S16" i="14" a="1"/>
  <c r="S16" i="14" s="1"/>
  <c r="G16" i="14" s="1"/>
  <c r="S14" i="14" a="1"/>
  <c r="S14" i="14" s="1"/>
  <c r="AS47" i="7" a="1"/>
  <c r="AS47" i="7" s="1"/>
  <c r="AS46" i="7" a="1"/>
  <c r="AS46" i="7" s="1"/>
  <c r="S27" i="14" a="1"/>
  <c r="S27" i="14" s="1"/>
  <c r="AS45" i="7" a="1"/>
  <c r="AS45" i="7" s="1"/>
  <c r="AS42" i="7" a="1"/>
  <c r="AS42" i="7" s="1"/>
  <c r="S15" i="14" a="1"/>
  <c r="S15" i="14" s="1"/>
  <c r="G15" i="14" s="1"/>
  <c r="AS49" i="7" a="1"/>
  <c r="AS49" i="7" s="1"/>
  <c r="S4" i="14" a="1"/>
  <c r="S4" i="14" s="1"/>
  <c r="S6" i="14" a="1"/>
  <c r="S6" i="14" s="1"/>
  <c r="G6" i="14" s="1"/>
  <c r="S17" i="14" a="1"/>
  <c r="S17" i="14" s="1"/>
  <c r="G17" i="14" s="1"/>
  <c r="S3" i="14" a="1"/>
  <c r="S3" i="14" s="1"/>
  <c r="S20" i="14" a="1"/>
  <c r="S20" i="14" s="1"/>
  <c r="G20" i="14" s="1"/>
  <c r="S21" i="14" a="1"/>
  <c r="S21" i="14" s="1"/>
  <c r="G21" i="14" s="1"/>
  <c r="S31" i="14" a="1"/>
  <c r="S31" i="14" s="1"/>
  <c r="S12" i="14" a="1"/>
  <c r="S12" i="14" s="1"/>
  <c r="G12" i="14" s="1"/>
  <c r="S25" i="14" a="1"/>
  <c r="S25" i="14" s="1"/>
  <c r="G25" i="14" s="1"/>
  <c r="S29" i="14" a="1"/>
  <c r="S29" i="14" s="1"/>
  <c r="AS44" i="7" a="1"/>
  <c r="AS44" i="7" s="1"/>
  <c r="G27" i="14" l="1"/>
  <c r="G8" i="14"/>
  <c r="G7" i="14"/>
  <c r="G32" i="14"/>
  <c r="G34" i="14"/>
  <c r="G24" i="14"/>
  <c r="G26" i="14"/>
  <c r="G23" i="14"/>
  <c r="G9" i="14"/>
  <c r="G5" i="14"/>
  <c r="G19" i="14"/>
  <c r="G33" i="14"/>
  <c r="AB26" i="4"/>
  <c r="AC25" i="4"/>
  <c r="AD25" i="4"/>
  <c r="AE24" i="4"/>
  <c r="H43" i="7" a="1"/>
  <c r="H43" i="7" s="1"/>
  <c r="H46" i="7" a="1"/>
  <c r="H46" i="7" s="1"/>
  <c r="H42" i="7" a="1"/>
  <c r="H42" i="7" s="1"/>
  <c r="H45" i="7" a="1"/>
  <c r="H45" i="7" s="1"/>
  <c r="H47" i="7" a="1"/>
  <c r="H47" i="7" s="1"/>
  <c r="H41" i="7"/>
  <c r="H44" i="7" a="1"/>
  <c r="H44" i="7" s="1"/>
  <c r="T46" i="14" a="1"/>
  <c r="T46" i="14" s="1"/>
  <c r="T41" i="14" a="1"/>
  <c r="T41" i="14" s="1"/>
  <c r="T44" i="14" a="1"/>
  <c r="T44" i="14" s="1"/>
  <c r="T48" i="14" a="1"/>
  <c r="T48" i="14" s="1"/>
  <c r="T43" i="14" a="1"/>
  <c r="T43" i="14" s="1"/>
  <c r="T42" i="14" a="1"/>
  <c r="T42" i="14" s="1"/>
  <c r="T40" i="14"/>
  <c r="T45" i="14" a="1"/>
  <c r="T45" i="14" s="1"/>
  <c r="T47" i="14" a="1"/>
  <c r="T47" i="14" s="1"/>
  <c r="S48" i="14" a="1"/>
  <c r="S48" i="14" s="1"/>
  <c r="S44" i="14" a="1"/>
  <c r="S44" i="14" s="1"/>
  <c r="S45" i="14" a="1"/>
  <c r="S45" i="14" s="1"/>
  <c r="S41" i="14" a="1"/>
  <c r="S41" i="14" s="1"/>
  <c r="S42" i="14" a="1"/>
  <c r="S42" i="14" s="1"/>
  <c r="S43" i="14" a="1"/>
  <c r="S43" i="14" s="1"/>
  <c r="S40" i="14"/>
  <c r="S46" i="14" a="1"/>
  <c r="S46" i="14" s="1"/>
  <c r="S47" i="14" a="1"/>
  <c r="S47" i="14" s="1"/>
  <c r="AE25" i="4" l="1"/>
  <c r="AD26" i="4"/>
  <c r="AC26" i="4"/>
  <c r="AB27" i="4"/>
  <c r="G46" i="14" a="1"/>
  <c r="G46" i="14" s="1"/>
  <c r="G48" i="14" a="1"/>
  <c r="G48" i="14" s="1"/>
  <c r="G43" i="14" a="1"/>
  <c r="G43" i="14" s="1"/>
  <c r="G40" i="14"/>
  <c r="G47" i="14" a="1"/>
  <c r="G47" i="14" s="1"/>
  <c r="G41" i="14" a="1"/>
  <c r="G41" i="14" s="1"/>
  <c r="G44" i="14" a="1"/>
  <c r="G44" i="14" s="1"/>
  <c r="G45" i="14" a="1"/>
  <c r="G45" i="14" s="1"/>
  <c r="G42" i="14" a="1"/>
  <c r="G42" i="14" s="1"/>
  <c r="AC27" i="4" l="1"/>
  <c r="AD27" i="4"/>
  <c r="AE26" i="4"/>
  <c r="X74" i="11"/>
  <c r="X38" i="12"/>
  <c r="X10" i="11"/>
  <c r="X32" i="12"/>
  <c r="X64" i="12"/>
  <c r="X74" i="12"/>
  <c r="X53" i="12"/>
  <c r="X44" i="12"/>
  <c r="X20" i="11"/>
  <c r="X34" i="11"/>
  <c r="X65" i="11"/>
  <c r="X31" i="11"/>
  <c r="X7" i="11"/>
  <c r="X17" i="12"/>
  <c r="X16" i="11"/>
  <c r="X49" i="12"/>
  <c r="X22" i="11"/>
  <c r="X59" i="11"/>
  <c r="X79" i="12"/>
  <c r="X16" i="12"/>
  <c r="X11" i="12"/>
  <c r="X46" i="12"/>
  <c r="X8" i="11"/>
  <c r="X28" i="12"/>
  <c r="X61" i="11"/>
  <c r="X47" i="12"/>
  <c r="X49" i="11"/>
  <c r="X40" i="12"/>
  <c r="X38" i="11"/>
  <c r="X31" i="12"/>
  <c r="X80" i="11"/>
  <c r="X52" i="12"/>
  <c r="X67" i="11"/>
  <c r="X10" i="12"/>
  <c r="X46" i="11"/>
  <c r="X37" i="12"/>
  <c r="X35" i="12"/>
  <c r="X53" i="11"/>
  <c r="X34" i="12"/>
  <c r="X20" i="12"/>
  <c r="X68" i="12"/>
  <c r="X14" i="11"/>
  <c r="X58" i="12"/>
  <c r="X43" i="12"/>
  <c r="X4" i="12"/>
  <c r="X59" i="12"/>
  <c r="X19" i="12"/>
  <c r="X44" i="11"/>
  <c r="X62" i="12"/>
  <c r="X76" i="11"/>
  <c r="X65" i="12"/>
  <c r="X23" i="11"/>
  <c r="X5" i="12"/>
  <c r="X25" i="12"/>
  <c r="X71" i="12"/>
  <c r="X70" i="12"/>
  <c r="X41" i="12"/>
  <c r="X4" i="11"/>
  <c r="X28" i="11"/>
  <c r="X26" i="11"/>
  <c r="X50" i="11"/>
  <c r="X50" i="12"/>
  <c r="X64" i="11"/>
  <c r="X35" i="11"/>
  <c r="X76" i="12"/>
  <c r="X29" i="11"/>
  <c r="X7" i="12"/>
  <c r="X29" i="12"/>
  <c r="X58" i="11"/>
  <c r="X14" i="12"/>
  <c r="X13" i="11"/>
  <c r="X70" i="11"/>
  <c r="X55" i="12"/>
  <c r="X43" i="11"/>
  <c r="X17" i="11"/>
  <c r="X32" i="11"/>
  <c r="X41" i="11"/>
  <c r="X56" i="11"/>
  <c r="X52" i="11"/>
  <c r="X25" i="11"/>
  <c r="X40" i="11"/>
  <c r="X77" i="12"/>
  <c r="X13" i="12"/>
  <c r="X23" i="12"/>
  <c r="X26" i="12"/>
  <c r="X68" i="11"/>
  <c r="X11" i="11"/>
  <c r="X79" i="11"/>
  <c r="X73" i="12"/>
  <c r="X67" i="12"/>
  <c r="X5" i="11"/>
  <c r="X47" i="11"/>
  <c r="X8" i="12"/>
  <c r="X56" i="12"/>
  <c r="X37" i="11"/>
  <c r="X19" i="11"/>
  <c r="X73" i="11"/>
  <c r="X22" i="12"/>
  <c r="X71" i="11"/>
  <c r="X61" i="12"/>
  <c r="X55" i="11"/>
  <c r="X62" i="11"/>
  <c r="X80" i="12"/>
  <c r="X77" i="11"/>
  <c r="Y14" i="11" l="1"/>
  <c r="Z14" i="11" s="1"/>
  <c r="Y67" i="11"/>
  <c r="Z67" i="11" s="1"/>
  <c r="Y52" i="11"/>
  <c r="Z52" i="11" s="1"/>
  <c r="Y76" i="11"/>
  <c r="Z76" i="11" s="1"/>
  <c r="Y25" i="11"/>
  <c r="Z25" i="11" s="1"/>
  <c r="Y71" i="11"/>
  <c r="Z71" i="11" s="1"/>
  <c r="Y34" i="11"/>
  <c r="Z34" i="11" s="1"/>
  <c r="Y59" i="11"/>
  <c r="Z59" i="11" s="1"/>
  <c r="Y80" i="11"/>
  <c r="Z80" i="11" s="1"/>
  <c r="Y29" i="11"/>
  <c r="Z29" i="11" s="1"/>
  <c r="Y31" i="11"/>
  <c r="Z31" i="11" s="1"/>
  <c r="Y19" i="11"/>
  <c r="Z19" i="11" s="1"/>
  <c r="Y7" i="11"/>
  <c r="Z7" i="11" s="1"/>
  <c r="Y10" i="11"/>
  <c r="Z10" i="11" s="1"/>
  <c r="Y22" i="11"/>
  <c r="Z22" i="11" s="1"/>
  <c r="Y46" i="11"/>
  <c r="Z46" i="11" s="1"/>
  <c r="Y5" i="11"/>
  <c r="Z5" i="11" s="1"/>
  <c r="Y43" i="11"/>
  <c r="Z43" i="11" s="1"/>
  <c r="Y74" i="11"/>
  <c r="Z74" i="11" s="1"/>
  <c r="Y38" i="11"/>
  <c r="Z38" i="11" s="1"/>
  <c r="Y40" i="11"/>
  <c r="Z40" i="11" s="1"/>
  <c r="Y49" i="11"/>
  <c r="Z49" i="11" s="1"/>
  <c r="Y56" i="11"/>
  <c r="Z56" i="11" s="1"/>
  <c r="Y17" i="11"/>
  <c r="Z17" i="11" s="1"/>
  <c r="Y64" i="11"/>
  <c r="Z64" i="11" s="1"/>
  <c r="Y61" i="11"/>
  <c r="Z61" i="11" s="1"/>
  <c r="Y80" i="12"/>
  <c r="Z80" i="12" s="1"/>
  <c r="Y68" i="12"/>
  <c r="Z68" i="12" s="1"/>
  <c r="Y29" i="12"/>
  <c r="Z29" i="12" s="1"/>
  <c r="Y17" i="12"/>
  <c r="Z17" i="12" s="1"/>
  <c r="Y77" i="12"/>
  <c r="Z77" i="12" s="1"/>
  <c r="Y41" i="12"/>
  <c r="Z41" i="12" s="1"/>
  <c r="Y50" i="12"/>
  <c r="Z50" i="12" s="1"/>
  <c r="Y59" i="12"/>
  <c r="Z59" i="12" s="1"/>
  <c r="Y11" i="12"/>
  <c r="Z11" i="12" s="1"/>
  <c r="Y35" i="12"/>
  <c r="Z35" i="12" s="1"/>
  <c r="Y38" i="12"/>
  <c r="Z38" i="12" s="1"/>
  <c r="Y74" i="12"/>
  <c r="Z74" i="12" s="1"/>
  <c r="Y47" i="12"/>
  <c r="Z47" i="12" s="1"/>
  <c r="Y20" i="12"/>
  <c r="Z20" i="12" s="1"/>
  <c r="Y44" i="12"/>
  <c r="Z44" i="12" s="1"/>
  <c r="Y56" i="12"/>
  <c r="Z56" i="12" s="1"/>
  <c r="Y5" i="12"/>
  <c r="Z5" i="12" s="1"/>
  <c r="Y71" i="12"/>
  <c r="Z71" i="12" s="1"/>
  <c r="Y65" i="12"/>
  <c r="Z65" i="12" s="1"/>
  <c r="Y53" i="12"/>
  <c r="Z53" i="12" s="1"/>
  <c r="Y32" i="12"/>
  <c r="Z32" i="12" s="1"/>
  <c r="Y14" i="12"/>
  <c r="Z14" i="12" s="1"/>
  <c r="Y23" i="12"/>
  <c r="Z23" i="12" s="1"/>
  <c r="Y10" i="12"/>
  <c r="Z10" i="12" s="1"/>
  <c r="Y26" i="12"/>
  <c r="Z26" i="12" s="1"/>
  <c r="Y34" i="12"/>
  <c r="Z34" i="12" s="1"/>
  <c r="Y37" i="12"/>
  <c r="Z37" i="12" s="1"/>
  <c r="Y43" i="12"/>
  <c r="Z43" i="12" s="1"/>
  <c r="Y76" i="12"/>
  <c r="Z76" i="12" s="1"/>
  <c r="Y16" i="12"/>
  <c r="Z16" i="12" s="1"/>
  <c r="Y19" i="12"/>
  <c r="Z19" i="12" s="1"/>
  <c r="Y73" i="12"/>
  <c r="Z73" i="12" s="1"/>
  <c r="Y40" i="12"/>
  <c r="Z40" i="12" s="1"/>
  <c r="Y79" i="12"/>
  <c r="Z79" i="12" s="1"/>
  <c r="Y64" i="12"/>
  <c r="Z64" i="12" s="1"/>
  <c r="AA65" i="12" s="1"/>
  <c r="Y55" i="12"/>
  <c r="Z55" i="12" s="1"/>
  <c r="Y28" i="12"/>
  <c r="Z28" i="12" s="1"/>
  <c r="Y49" i="12"/>
  <c r="Z49" i="12" s="1"/>
  <c r="Y52" i="12"/>
  <c r="Z52" i="12" s="1"/>
  <c r="Y31" i="12"/>
  <c r="Z31" i="12" s="1"/>
  <c r="Y4" i="12"/>
  <c r="X81" i="12"/>
  <c r="X89" i="12" a="1"/>
  <c r="X89" i="12" s="1"/>
  <c r="X88" i="12" a="1"/>
  <c r="X88" i="12" s="1"/>
  <c r="X84" i="12" a="1"/>
  <c r="X84" i="12" s="1"/>
  <c r="X82" i="12" a="1"/>
  <c r="X82" i="12" s="1"/>
  <c r="X85" i="12" a="1"/>
  <c r="X85" i="12" s="1"/>
  <c r="X87" i="12" a="1"/>
  <c r="X87" i="12" s="1"/>
  <c r="X86" i="12" a="1"/>
  <c r="X86" i="12" s="1"/>
  <c r="X83" i="12" a="1"/>
  <c r="X83" i="12" s="1"/>
  <c r="Y58" i="12"/>
  <c r="Z58" i="12" s="1"/>
  <c r="Y46" i="12"/>
  <c r="Z46" i="12" s="1"/>
  <c r="Y70" i="12"/>
  <c r="Z70" i="12" s="1"/>
  <c r="Y67" i="12"/>
  <c r="Z67" i="12" s="1"/>
  <c r="AA68" i="12" s="1"/>
  <c r="Y13" i="12"/>
  <c r="Z13" i="12" s="1"/>
  <c r="Y22" i="12"/>
  <c r="Z22" i="12" s="1"/>
  <c r="Y62" i="12"/>
  <c r="Z62" i="12" s="1"/>
  <c r="Y61" i="12"/>
  <c r="Z61" i="12" s="1"/>
  <c r="Y7" i="12"/>
  <c r="Z7" i="12" s="1"/>
  <c r="Y25" i="12"/>
  <c r="Z25" i="12" s="1"/>
  <c r="Y8" i="12"/>
  <c r="Z8" i="12" s="1"/>
  <c r="Y79" i="11"/>
  <c r="Z79" i="11" s="1"/>
  <c r="Y16" i="11"/>
  <c r="Z16" i="11" s="1"/>
  <c r="Y62" i="11"/>
  <c r="Z62" i="11" s="1"/>
  <c r="Y13" i="11"/>
  <c r="Z13" i="11" s="1"/>
  <c r="Y70" i="11"/>
  <c r="Z70" i="11" s="1"/>
  <c r="Y28" i="11"/>
  <c r="Z28" i="11" s="1"/>
  <c r="Y73" i="11"/>
  <c r="Z73" i="11" s="1"/>
  <c r="Y55" i="11"/>
  <c r="Z55" i="11" s="1"/>
  <c r="AA56" i="11" s="1"/>
  <c r="Y4" i="11"/>
  <c r="X81" i="11"/>
  <c r="X89" i="11" a="1"/>
  <c r="X89" i="11" s="1"/>
  <c r="X83" i="11" a="1"/>
  <c r="X83" i="11" s="1"/>
  <c r="X85" i="11" a="1"/>
  <c r="X85" i="11" s="1"/>
  <c r="X88" i="11" a="1"/>
  <c r="X88" i="11" s="1"/>
  <c r="X84" i="11" a="1"/>
  <c r="X84" i="11" s="1"/>
  <c r="X86" i="11" a="1"/>
  <c r="X86" i="11" s="1"/>
  <c r="X87" i="11" a="1"/>
  <c r="X87" i="11" s="1"/>
  <c r="X82" i="11" a="1"/>
  <c r="X82" i="11" s="1"/>
  <c r="Y37" i="11"/>
  <c r="Z37" i="11" s="1"/>
  <c r="Y58" i="11"/>
  <c r="Z58" i="11" s="1"/>
  <c r="Y32" i="11"/>
  <c r="Z32" i="11" s="1"/>
  <c r="Y53" i="11"/>
  <c r="Z53" i="11" s="1"/>
  <c r="Y50" i="11"/>
  <c r="Z50" i="11" s="1"/>
  <c r="AA50" i="11" s="1"/>
  <c r="Y20" i="11"/>
  <c r="Z20" i="11" s="1"/>
  <c r="Y23" i="11"/>
  <c r="Z23" i="11" s="1"/>
  <c r="Y44" i="11"/>
  <c r="Z44" i="11" s="1"/>
  <c r="Y41" i="11"/>
  <c r="Z41" i="11" s="1"/>
  <c r="Y65" i="11"/>
  <c r="Z65" i="11" s="1"/>
  <c r="Y35" i="11"/>
  <c r="Z35" i="11" s="1"/>
  <c r="Y47" i="11"/>
  <c r="Z47" i="11" s="1"/>
  <c r="Y11" i="11"/>
  <c r="Z11" i="11" s="1"/>
  <c r="Y68" i="11"/>
  <c r="Z68" i="11" s="1"/>
  <c r="Y8" i="11"/>
  <c r="Z8" i="11" s="1"/>
  <c r="Y77" i="11"/>
  <c r="Z77" i="11" s="1"/>
  <c r="Y26" i="11"/>
  <c r="Z26" i="11" s="1"/>
  <c r="AE27" i="4"/>
  <c r="AA35" i="11" l="1"/>
  <c r="AA23" i="11"/>
  <c r="AA32" i="11"/>
  <c r="AA67" i="11"/>
  <c r="AA44" i="11"/>
  <c r="AA53" i="11"/>
  <c r="AA28" i="11"/>
  <c r="AA70" i="11"/>
  <c r="AA74" i="11"/>
  <c r="AA7" i="11"/>
  <c r="AA64" i="11"/>
  <c r="AA13" i="11"/>
  <c r="AA26" i="11"/>
  <c r="AA41" i="11"/>
  <c r="AA71" i="12"/>
  <c r="AA40" i="12"/>
  <c r="AA59" i="11"/>
  <c r="AA20" i="11"/>
  <c r="AA37" i="11"/>
  <c r="AA77" i="11"/>
  <c r="AA47" i="11"/>
  <c r="AA29" i="12"/>
  <c r="Z4" i="11"/>
  <c r="Y84" i="11" a="1"/>
  <c r="Y84" i="11" s="1"/>
  <c r="Y88" i="11" a="1"/>
  <c r="Y88" i="11" s="1"/>
  <c r="Y81" i="11"/>
  <c r="Y87" i="11" a="1"/>
  <c r="Y87" i="11" s="1"/>
  <c r="Y89" i="11" a="1"/>
  <c r="Y89" i="11" s="1"/>
  <c r="Y85" i="11" a="1"/>
  <c r="Y85" i="11" s="1"/>
  <c r="Y82" i="11" a="1"/>
  <c r="Y82" i="11" s="1"/>
  <c r="Y83" i="11" a="1"/>
  <c r="Y83" i="11" s="1"/>
  <c r="Y86" i="11" a="1"/>
  <c r="Y86" i="11" s="1"/>
  <c r="AA79" i="11"/>
  <c r="AA80" i="11"/>
  <c r="AA62" i="12"/>
  <c r="AA61" i="12"/>
  <c r="AA49" i="12"/>
  <c r="AA50" i="12"/>
  <c r="AA79" i="12"/>
  <c r="AA80" i="12"/>
  <c r="AA17" i="12"/>
  <c r="AA16" i="12"/>
  <c r="AA34" i="12"/>
  <c r="AA35" i="12"/>
  <c r="AA70" i="12"/>
  <c r="AA41" i="12"/>
  <c r="AA67" i="12"/>
  <c r="AA38" i="11"/>
  <c r="AA46" i="11"/>
  <c r="AA19" i="11"/>
  <c r="AA58" i="11"/>
  <c r="AA76" i="11"/>
  <c r="Z4" i="12"/>
  <c r="AA5" i="12" s="1"/>
  <c r="Y85" i="12" a="1"/>
  <c r="Y85" i="12" s="1"/>
  <c r="Y86" i="12" a="1"/>
  <c r="Y86" i="12" s="1"/>
  <c r="Y81" i="12"/>
  <c r="Y83" i="12" a="1"/>
  <c r="Y83" i="12" s="1"/>
  <c r="Y84" i="12" a="1"/>
  <c r="Y84" i="12" s="1"/>
  <c r="Y88" i="12" a="1"/>
  <c r="Y88" i="12" s="1"/>
  <c r="Y87" i="12" a="1"/>
  <c r="Y87" i="12" s="1"/>
  <c r="Y89" i="12" a="1"/>
  <c r="Y89" i="12" s="1"/>
  <c r="Y82" i="12" a="1"/>
  <c r="Y82" i="12" s="1"/>
  <c r="AA28" i="12"/>
  <c r="AA76" i="12"/>
  <c r="AA77" i="12"/>
  <c r="AA55" i="11"/>
  <c r="AA73" i="11"/>
  <c r="AA22" i="11"/>
  <c r="AA31" i="11"/>
  <c r="AA34" i="11"/>
  <c r="AA52" i="11"/>
  <c r="AA25" i="12"/>
  <c r="AA26" i="12"/>
  <c r="AA22" i="12"/>
  <c r="AA23" i="12"/>
  <c r="AA47" i="12"/>
  <c r="AA46" i="12"/>
  <c r="AA31" i="12"/>
  <c r="AA32" i="12"/>
  <c r="AA56" i="12"/>
  <c r="AA55" i="12"/>
  <c r="AA74" i="12"/>
  <c r="AA73" i="12"/>
  <c r="AA44" i="12"/>
  <c r="AA43" i="12"/>
  <c r="AA11" i="12"/>
  <c r="AA10" i="12"/>
  <c r="AA62" i="11"/>
  <c r="AA61" i="11"/>
  <c r="AA49" i="11"/>
  <c r="AA43" i="11"/>
  <c r="AA10" i="11"/>
  <c r="AA11" i="11"/>
  <c r="AA29" i="11"/>
  <c r="AA71" i="11"/>
  <c r="AA68" i="11"/>
  <c r="AA16" i="11"/>
  <c r="AA17" i="11"/>
  <c r="AA7" i="12"/>
  <c r="AA8" i="12"/>
  <c r="AA14" i="12"/>
  <c r="AA13" i="12"/>
  <c r="AA59" i="12"/>
  <c r="AA58" i="12"/>
  <c r="AA53" i="12"/>
  <c r="AA52" i="12"/>
  <c r="AA20" i="12"/>
  <c r="AA19" i="12"/>
  <c r="AA38" i="12"/>
  <c r="AA37" i="12"/>
  <c r="AA64" i="12"/>
  <c r="AA65" i="11"/>
  <c r="AA40" i="11"/>
  <c r="AA8" i="11"/>
  <c r="AA25" i="11"/>
  <c r="AA14" i="11"/>
  <c r="AA4" i="12" l="1"/>
  <c r="Z86" i="12" a="1"/>
  <c r="Z86" i="12" s="1"/>
  <c r="Z85" i="12" a="1"/>
  <c r="Z85" i="12" s="1"/>
  <c r="Z81" i="12"/>
  <c r="Z88" i="12" a="1"/>
  <c r="Z88" i="12" s="1"/>
  <c r="Z89" i="12" a="1"/>
  <c r="Z89" i="12" s="1"/>
  <c r="Z82" i="12" a="1"/>
  <c r="Z82" i="12" s="1"/>
  <c r="Z84" i="12" a="1"/>
  <c r="Z84" i="12" s="1"/>
  <c r="Z87" i="12" a="1"/>
  <c r="Z87" i="12" s="1"/>
  <c r="Z83" i="12" a="1"/>
  <c r="Z83" i="12" s="1"/>
  <c r="Z84" i="11" a="1"/>
  <c r="Z84" i="11" s="1"/>
  <c r="AA4" i="11"/>
  <c r="Z83" i="11" a="1"/>
  <c r="Z83" i="11" s="1"/>
  <c r="Z89" i="11" a="1"/>
  <c r="Z89" i="11" s="1"/>
  <c r="AA5" i="11"/>
  <c r="Z82" i="11" a="1"/>
  <c r="Z82" i="11" s="1"/>
  <c r="Z88" i="11" a="1"/>
  <c r="Z88" i="11" s="1"/>
  <c r="Z87" i="11" a="1"/>
  <c r="Z87" i="11" s="1"/>
  <c r="Z86" i="11" a="1"/>
  <c r="Z86" i="11" s="1"/>
  <c r="Z85" i="11" a="1"/>
  <c r="Z85" i="11" s="1"/>
  <c r="Z81" i="11"/>
  <c r="K23" i="14" l="1" a="1"/>
  <c r="K23" i="14" s="1"/>
  <c r="K34" i="14" a="1"/>
  <c r="K34" i="14" s="1"/>
  <c r="AA82" i="11" a="1"/>
  <c r="AA82" i="11" s="1"/>
  <c r="K8" i="14" a="1"/>
  <c r="K8" i="14" s="1"/>
  <c r="K11" i="14" a="1"/>
  <c r="K11" i="14" s="1"/>
  <c r="K32" i="14" a="1"/>
  <c r="K32" i="14" s="1"/>
  <c r="K3" i="14" a="1"/>
  <c r="K3" i="14" s="1"/>
  <c r="K31" i="14" a="1"/>
  <c r="K31" i="14" s="1"/>
  <c r="K30" i="14" a="1"/>
  <c r="K30" i="14" s="1"/>
  <c r="K12" i="14" a="1"/>
  <c r="K12" i="14" s="1"/>
  <c r="K24" i="14" a="1"/>
  <c r="K24" i="14" s="1"/>
  <c r="AA81" i="11"/>
  <c r="K15" i="14" a="1"/>
  <c r="K15" i="14" s="1"/>
  <c r="AA83" i="11" a="1"/>
  <c r="AA83" i="11" s="1"/>
  <c r="AA87" i="11" a="1"/>
  <c r="AA87" i="11" s="1"/>
  <c r="K20" i="14" a="1"/>
  <c r="K20" i="14" s="1"/>
  <c r="K19" i="14" a="1"/>
  <c r="K19" i="14" s="1"/>
  <c r="K14" i="14" a="1"/>
  <c r="K14" i="14" s="1"/>
  <c r="K5" i="14" a="1"/>
  <c r="K5" i="14" s="1"/>
  <c r="K13" i="14" a="1"/>
  <c r="K13" i="14" s="1"/>
  <c r="K26" i="14" a="1"/>
  <c r="K26" i="14" s="1"/>
  <c r="K10" i="14" a="1"/>
  <c r="K10" i="14" s="1"/>
  <c r="K7" i="14" a="1"/>
  <c r="K7" i="14" s="1"/>
  <c r="AA86" i="11" a="1"/>
  <c r="AA86" i="11" s="1"/>
  <c r="K17" i="14" a="1"/>
  <c r="K17" i="14" s="1"/>
  <c r="K9" i="14" a="1"/>
  <c r="K9" i="14" s="1"/>
  <c r="K18" i="14" a="1"/>
  <c r="K18" i="14" s="1"/>
  <c r="AA89" i="11" a="1"/>
  <c r="AA89" i="11" s="1"/>
  <c r="K33" i="14" a="1"/>
  <c r="K33" i="14" s="1"/>
  <c r="K25" i="14" a="1"/>
  <c r="K25" i="14" s="1"/>
  <c r="K22" i="14" a="1"/>
  <c r="K22" i="14" s="1"/>
  <c r="K21" i="14" a="1"/>
  <c r="K21" i="14" s="1"/>
  <c r="K16" i="14" a="1"/>
  <c r="K16" i="14" s="1"/>
  <c r="K29" i="14" a="1"/>
  <c r="K29" i="14" s="1"/>
  <c r="AA85" i="11" a="1"/>
  <c r="AA85" i="11" s="1"/>
  <c r="K27" i="14" a="1"/>
  <c r="K27" i="14" s="1"/>
  <c r="K4" i="14" a="1"/>
  <c r="K4" i="14" s="1"/>
  <c r="K6" i="14" a="1"/>
  <c r="K6" i="14" s="1"/>
  <c r="AA88" i="11" a="1"/>
  <c r="AA88" i="11" s="1"/>
  <c r="K28" i="14" a="1"/>
  <c r="K28" i="14" s="1"/>
  <c r="AA84" i="11" a="1"/>
  <c r="AA84" i="11" s="1"/>
  <c r="AA83" i="12" a="1"/>
  <c r="AA83" i="12" s="1"/>
  <c r="N12" i="14" a="1"/>
  <c r="N12" i="14" s="1"/>
  <c r="AA87" i="12" a="1"/>
  <c r="AA87" i="12" s="1"/>
  <c r="N4" i="14" a="1"/>
  <c r="N4" i="14" s="1"/>
  <c r="AA89" i="12" a="1"/>
  <c r="AA89" i="12" s="1"/>
  <c r="N7" i="14" a="1"/>
  <c r="N7" i="14" s="1"/>
  <c r="AA86" i="12" a="1"/>
  <c r="AA86" i="12" s="1"/>
  <c r="N18" i="14" a="1"/>
  <c r="N18" i="14" s="1"/>
  <c r="N22" i="14" a="1"/>
  <c r="N22" i="14" s="1"/>
  <c r="AA81" i="12"/>
  <c r="N8" i="14" a="1"/>
  <c r="N8" i="14" s="1"/>
  <c r="N16" i="14" a="1"/>
  <c r="N16" i="14" s="1"/>
  <c r="N13" i="14" a="1"/>
  <c r="N13" i="14" s="1"/>
  <c r="N5" i="14" a="1"/>
  <c r="N5" i="14" s="1"/>
  <c r="N28" i="14" a="1"/>
  <c r="N28" i="14" s="1"/>
  <c r="N20" i="14" a="1"/>
  <c r="N20" i="14" s="1"/>
  <c r="N31" i="14" a="1"/>
  <c r="N31" i="14" s="1"/>
  <c r="N27" i="14" a="1"/>
  <c r="N27" i="14" s="1"/>
  <c r="N6" i="14" a="1"/>
  <c r="N6" i="14" s="1"/>
  <c r="N24" i="14" a="1"/>
  <c r="N24" i="14" s="1"/>
  <c r="N11" i="14" a="1"/>
  <c r="N11" i="14" s="1"/>
  <c r="N14" i="14" a="1"/>
  <c r="N14" i="14" s="1"/>
  <c r="N21" i="14" a="1"/>
  <c r="N21" i="14" s="1"/>
  <c r="N3" i="14" a="1"/>
  <c r="N3" i="14" s="1"/>
  <c r="N9" i="14" a="1"/>
  <c r="N9" i="14" s="1"/>
  <c r="N30" i="14" a="1"/>
  <c r="N30" i="14" s="1"/>
  <c r="N15" i="14" a="1"/>
  <c r="N15" i="14" s="1"/>
  <c r="N29" i="14" a="1"/>
  <c r="N29" i="14" s="1"/>
  <c r="N34" i="14" a="1"/>
  <c r="N34" i="14" s="1"/>
  <c r="N33" i="14" a="1"/>
  <c r="N33" i="14" s="1"/>
  <c r="N10" i="14" a="1"/>
  <c r="N10" i="14" s="1"/>
  <c r="AA88" i="12" a="1"/>
  <c r="AA88" i="12" s="1"/>
  <c r="N19" i="14" a="1"/>
  <c r="N19" i="14" s="1"/>
  <c r="AA85" i="12" a="1"/>
  <c r="AA85" i="12" s="1"/>
  <c r="N23" i="14" a="1"/>
  <c r="N23" i="14" s="1"/>
  <c r="AA84" i="12" a="1"/>
  <c r="AA84" i="12" s="1"/>
  <c r="N17" i="14" a="1"/>
  <c r="N17" i="14" s="1"/>
  <c r="AA82" i="12" a="1"/>
  <c r="AA82" i="12" s="1"/>
  <c r="N32" i="14" a="1"/>
  <c r="N32" i="14" s="1"/>
  <c r="N25" i="14" a="1"/>
  <c r="N25" i="14" s="1"/>
  <c r="N26" i="14" a="1"/>
  <c r="N26" i="14" s="1"/>
  <c r="I28" i="14" l="1"/>
  <c r="I27" i="14"/>
  <c r="D27" i="14" s="1"/>
  <c r="I21" i="14"/>
  <c r="D21" i="14" s="1"/>
  <c r="I13" i="14"/>
  <c r="D13" i="14" s="1"/>
  <c r="I20" i="14"/>
  <c r="D20" i="14" s="1"/>
  <c r="I31" i="14"/>
  <c r="D31" i="14" s="1"/>
  <c r="I8" i="14"/>
  <c r="D8" i="14" s="1"/>
  <c r="I22" i="14"/>
  <c r="D22" i="14" s="1"/>
  <c r="I18" i="14"/>
  <c r="I7" i="14"/>
  <c r="D7" i="14" s="1"/>
  <c r="I5" i="14"/>
  <c r="D5" i="14" s="1"/>
  <c r="I24" i="14"/>
  <c r="D24" i="14" s="1"/>
  <c r="K48" i="14" a="1"/>
  <c r="K48" i="14" s="1"/>
  <c r="K43" i="14" a="1"/>
  <c r="K43" i="14" s="1"/>
  <c r="K41" i="14" a="1"/>
  <c r="K41" i="14" s="1"/>
  <c r="I3" i="14"/>
  <c r="K44" i="14" a="1"/>
  <c r="K44" i="14" s="1"/>
  <c r="K40" i="14"/>
  <c r="K47" i="14" a="1"/>
  <c r="K47" i="14" s="1"/>
  <c r="K46" i="14" a="1"/>
  <c r="K46" i="14" s="1"/>
  <c r="K42" i="14" a="1"/>
  <c r="K42" i="14" s="1"/>
  <c r="K45" i="14" a="1"/>
  <c r="K45" i="14" s="1"/>
  <c r="I6" i="14"/>
  <c r="D6" i="14" s="1"/>
  <c r="I29" i="14"/>
  <c r="D29" i="14" s="1"/>
  <c r="I25" i="14"/>
  <c r="D25" i="14" s="1"/>
  <c r="I9" i="14"/>
  <c r="D9" i="14" s="1"/>
  <c r="I10" i="14"/>
  <c r="D10" i="14" s="1"/>
  <c r="I14" i="14"/>
  <c r="I12" i="14"/>
  <c r="D12" i="14" s="1"/>
  <c r="I32" i="14"/>
  <c r="D32" i="14" s="1"/>
  <c r="I34" i="14"/>
  <c r="N42" i="14" a="1"/>
  <c r="N42" i="14" s="1"/>
  <c r="N47" i="14" a="1"/>
  <c r="N47" i="14" s="1"/>
  <c r="N46" i="14" a="1"/>
  <c r="N46" i="14" s="1"/>
  <c r="N43" i="14" a="1"/>
  <c r="N43" i="14" s="1"/>
  <c r="N40" i="14"/>
  <c r="N44" i="14" a="1"/>
  <c r="N44" i="14" s="1"/>
  <c r="N45" i="14" a="1"/>
  <c r="N45" i="14" s="1"/>
  <c r="N48" i="14" a="1"/>
  <c r="N48" i="14" s="1"/>
  <c r="N41" i="14" a="1"/>
  <c r="N41" i="14" s="1"/>
  <c r="I4" i="14"/>
  <c r="I16" i="14"/>
  <c r="D16" i="14" s="1"/>
  <c r="I33" i="14"/>
  <c r="I17" i="14"/>
  <c r="D17" i="14" s="1"/>
  <c r="I26" i="14"/>
  <c r="D26" i="14" s="1"/>
  <c r="I19" i="14"/>
  <c r="D19" i="14" s="1"/>
  <c r="I15" i="14"/>
  <c r="D15" i="14" s="1"/>
  <c r="I30" i="14"/>
  <c r="D30" i="14" s="1"/>
  <c r="I11" i="14"/>
  <c r="D11" i="14" s="1"/>
  <c r="I23" i="14"/>
  <c r="D23" i="14" s="1"/>
  <c r="I46" i="14" l="1" a="1"/>
  <c r="I46" i="14" s="1"/>
  <c r="I48" i="14" a="1"/>
  <c r="I48" i="14" s="1"/>
  <c r="I41" i="14" a="1"/>
  <c r="I41" i="14" s="1"/>
  <c r="I42" i="14" a="1"/>
  <c r="I42" i="14" s="1"/>
  <c r="I44" i="14" a="1"/>
  <c r="I44" i="14" s="1"/>
  <c r="I40" i="14"/>
  <c r="I45" i="14" a="1"/>
  <c r="I45" i="14" s="1"/>
  <c r="I47" i="14" a="1"/>
  <c r="I47" i="14" s="1"/>
  <c r="I43" i="14" a="1"/>
  <c r="I43" i="14" s="1"/>
  <c r="D3" i="14"/>
  <c r="U29" i="14" s="1"/>
  <c r="U18" i="14" l="1"/>
  <c r="U15" i="14"/>
  <c r="U13" i="14"/>
  <c r="U7" i="14"/>
  <c r="U32" i="14"/>
  <c r="U26" i="14"/>
  <c r="U8" i="14"/>
  <c r="U20" i="14"/>
  <c r="U27" i="14"/>
  <c r="U5" i="14"/>
  <c r="U23" i="14"/>
  <c r="U9" i="14"/>
  <c r="U34" i="14"/>
  <c r="U28" i="14"/>
  <c r="U16" i="14"/>
  <c r="U31" i="14"/>
  <c r="U21" i="14"/>
  <c r="U10" i="14"/>
  <c r="U24" i="14"/>
  <c r="U6" i="14"/>
  <c r="U22" i="14"/>
  <c r="D47" i="14" a="1"/>
  <c r="D47" i="14" s="1"/>
  <c r="D48" i="14" a="1"/>
  <c r="D48" i="14" s="1"/>
  <c r="U38" i="14"/>
  <c r="U39" i="14"/>
  <c r="U3" i="14"/>
  <c r="D46" i="14" a="1"/>
  <c r="D46" i="14" s="1"/>
  <c r="D45" i="14" a="1"/>
  <c r="D45" i="14" s="1"/>
  <c r="U36" i="14"/>
  <c r="D41" i="14" a="1"/>
  <c r="D41" i="14" s="1"/>
  <c r="D43" i="14" a="1"/>
  <c r="D43" i="14" s="1"/>
  <c r="U37" i="14"/>
  <c r="U35" i="14"/>
  <c r="D42" i="14" a="1"/>
  <c r="D42" i="14" s="1"/>
  <c r="D40" i="14"/>
  <c r="D44" i="14" a="1"/>
  <c r="D44" i="14" s="1"/>
  <c r="U17" i="14"/>
  <c r="U4" i="14"/>
  <c r="U30" i="14"/>
  <c r="U11" i="14"/>
  <c r="U25" i="14"/>
  <c r="U19" i="14"/>
  <c r="U14" i="14"/>
  <c r="U12" i="14"/>
  <c r="U33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AUDET</author>
    <author>Aurélien Marchesnay</author>
    <author>Stéphane</author>
  </authors>
  <commentList>
    <comment ref="B2" authorId="0" shapeId="0" xr:uid="{82673711-431D-4065-9E41-73F78945AEF9}">
      <text>
        <r>
          <rPr>
            <sz val="9"/>
            <color indexed="81"/>
            <rFont val="宋体"/>
            <charset val="134"/>
          </rPr>
          <t>La liste "Elèves' se remplit automatiquement en fonction des noms et prénoms</t>
        </r>
      </text>
    </comment>
    <comment ref="C2" authorId="1" shapeId="0" xr:uid="{3F11FB3D-8113-4D83-B0BC-E367859A7515}">
      <text>
        <r>
          <rPr>
            <sz val="9"/>
            <color indexed="81"/>
            <rFont val="宋体"/>
            <charset val="134"/>
          </rPr>
          <t>N'oubliez pas d'indiquer F ou M dans cette colonne, de nombreuses formules en dépendent</t>
        </r>
      </text>
    </comment>
    <comment ref="D2" authorId="2" shapeId="0" xr:uid="{D36E95BE-7062-4718-A0D3-4366EBDC504B}">
      <text>
        <r>
          <rPr>
            <sz val="9"/>
            <color indexed="81"/>
            <rFont val="宋体"/>
            <charset val="134"/>
          </rPr>
          <t>Coller le nom des élèves</t>
        </r>
      </text>
    </comment>
    <comment ref="E2" authorId="2" shapeId="0" xr:uid="{19E5E3F5-62F5-4F39-B24C-4DC7C73E72F4}">
      <text>
        <r>
          <rPr>
            <sz val="9"/>
            <color indexed="81"/>
            <rFont val="宋体"/>
            <charset val="134"/>
          </rPr>
          <t xml:space="preserve">Coller le prénom des élèves
</t>
        </r>
      </text>
    </comment>
    <comment ref="H2" authorId="2" shapeId="0" xr:uid="{740E0108-D6A0-409A-8CDB-BFF98CACABD8}">
      <text>
        <r>
          <rPr>
            <sz val="9"/>
            <color indexed="81"/>
            <rFont val="宋体"/>
            <charset val="134"/>
          </rPr>
          <t xml:space="preserve">Coller le nom et le prénom des élèves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Stéphane</author>
  </authors>
  <commentList>
    <comment ref="B2" authorId="0" shapeId="0" xr:uid="{08EC39C8-7319-4AFE-8DF9-7E72EA6BB236}">
      <text>
        <r>
          <rPr>
            <b/>
            <sz val="9"/>
            <color indexed="81"/>
            <rFont val="Tahoma"/>
            <family val="2"/>
          </rPr>
          <t>A titre indicatif</t>
        </r>
      </text>
    </comment>
    <comment ref="H2" authorId="0" shapeId="0" xr:uid="{717099E9-6002-4452-9136-B9A800B5C4F2}">
      <text>
        <r>
          <rPr>
            <b/>
            <sz val="9"/>
            <color indexed="81"/>
            <rFont val="Tahoma"/>
            <family val="2"/>
          </rPr>
          <t>A titre indicatif</t>
        </r>
      </text>
    </comment>
    <comment ref="T2" authorId="0" shapeId="0" xr:uid="{130DAE61-30BF-4F2F-8C9E-7F7CCF080FAF}">
      <text>
        <r>
          <rPr>
            <b/>
            <sz val="9"/>
            <color indexed="81"/>
            <rFont val="Tahoma"/>
            <family val="2"/>
          </rPr>
          <t>A titre indicatif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AUDET</author>
    <author>Aurélien Marchesnay</author>
    <author>Stéphane</author>
  </authors>
  <commentList>
    <comment ref="A2" authorId="0" shapeId="0" xr:uid="{489E3667-3E04-47C8-9940-0B56FCE052FB}">
      <text>
        <r>
          <rPr>
            <sz val="9"/>
            <color indexed="81"/>
            <rFont val="宋体"/>
            <charset val="134"/>
          </rPr>
          <t>La liste "Elèves' se remplit automatiquement en fonction des noms et prénoms</t>
        </r>
      </text>
    </comment>
    <comment ref="B2" authorId="1" shapeId="0" xr:uid="{7A81605A-6E0A-4DA7-9447-BA4A2053328A}">
      <text>
        <r>
          <rPr>
            <sz val="9"/>
            <color indexed="81"/>
            <rFont val="宋体"/>
            <charset val="134"/>
          </rPr>
          <t>N'oubliez pas d'indiquer F ou M dans cette colonne, de nombreuses formules en dépendent</t>
        </r>
      </text>
    </comment>
    <comment ref="G2" authorId="2" shapeId="0" xr:uid="{13E43357-574B-4F05-B145-ACA1B20E624B}">
      <text>
        <r>
          <rPr>
            <sz val="9"/>
            <color indexed="81"/>
            <rFont val="Tahoma"/>
            <family val="2"/>
          </rPr>
          <t xml:space="preserve">Performance sur 30m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Stéphane</author>
  </authors>
  <commentList>
    <comment ref="T3" authorId="0" shapeId="0" xr:uid="{F0FAFD3A-BBD1-4BA5-B6D1-91056AFA5B33}">
      <text>
        <r>
          <rPr>
            <b/>
            <sz val="9"/>
            <color indexed="81"/>
            <rFont val="Tahoma"/>
            <family val="2"/>
          </rPr>
          <t>A titre indicatif</t>
        </r>
      </text>
    </comment>
    <comment ref="AF3" authorId="0" shapeId="0" xr:uid="{3B0DD68D-2D98-4854-9741-94305FF08302}">
      <text>
        <r>
          <rPr>
            <b/>
            <sz val="9"/>
            <color indexed="81"/>
            <rFont val="Tahoma"/>
            <family val="2"/>
          </rPr>
          <t>A titre indicatif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3" authorId="0" shapeId="0" xr:uid="{58338CDA-8320-4692-9E30-848FD355FC89}">
      <text>
        <r>
          <rPr>
            <b/>
            <sz val="9"/>
            <color indexed="81"/>
            <rFont val="Tahoma"/>
            <charset val="1"/>
          </rPr>
          <t>Choisir entre:
Mini: Meilleur temps
Moy.: Moyenne des temps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S3" authorId="0" shapeId="0" xr:uid="{0749606E-0AEC-4C69-B551-8CEC9B99D279}">
      <text>
        <r>
          <rPr>
            <b/>
            <sz val="9"/>
            <color indexed="81"/>
            <rFont val="Tahoma"/>
            <family val="2"/>
          </rPr>
          <t>Barème modifiable dans l'onglet "Barême"</t>
        </r>
      </text>
    </comment>
    <comment ref="BF3" authorId="0" shapeId="0" xr:uid="{36A8A73A-632B-414E-8189-F65411BE55B8}">
      <text>
        <r>
          <rPr>
            <b/>
            <sz val="9"/>
            <color indexed="81"/>
            <rFont val="Tahoma"/>
            <family val="2"/>
          </rPr>
          <t>A titre indicatif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<sst xmlns="http://schemas.openxmlformats.org/spreadsheetml/2006/main" count="2068" uniqueCount="251">
  <si>
    <t>Remplir le genre impérativement</t>
  </si>
  <si>
    <t>Remplir ou copier-coller les nom  et prénom des élèves ci-dessous tout d'abord</t>
  </si>
  <si>
    <t>Liste élèves</t>
  </si>
  <si>
    <t>F/M</t>
  </si>
  <si>
    <t>Un seul Nom</t>
  </si>
  <si>
    <t>Prénom</t>
  </si>
  <si>
    <t>OU</t>
  </si>
  <si>
    <t>Un seul Nom - Prénom</t>
  </si>
  <si>
    <t>F</t>
  </si>
  <si>
    <t/>
  </si>
  <si>
    <t>M</t>
  </si>
  <si>
    <t>Sprint 10m</t>
  </si>
  <si>
    <t>Sprint 15m</t>
  </si>
  <si>
    <t>Sprint 30m
/5</t>
  </si>
  <si>
    <t>Sprint 40m
/5</t>
  </si>
  <si>
    <t>Temps cumulés des 2 Relais 2x30m
/6</t>
  </si>
  <si>
    <t>Pourcentage positif Rapport Relais chronométré et théorique</t>
  </si>
  <si>
    <t xml:space="preserve"> F</t>
  </si>
  <si>
    <t>G</t>
  </si>
  <si>
    <t>Notes</t>
  </si>
  <si>
    <t>Mixte</t>
  </si>
  <si>
    <t>D: Donne main D sur G ou G sur D</t>
  </si>
  <si>
    <t>Mouvement uniforme avec une vitesse constante v :</t>
  </si>
  <si>
    <t>D: Couloir = Reste dans son couloir après la transmission</t>
  </si>
  <si>
    <t>R: Bras = Bras tendu après le "hop" et sur 3 ou 4 foulées</t>
  </si>
  <si>
    <t>vitesse</t>
  </si>
  <si>
    <t>v = konstant  </t>
  </si>
  <si>
    <t>R: Devant = Cours en regardant devant soi pendant la transmission</t>
  </si>
  <si>
    <t>distance parcourue    </t>
  </si>
  <si>
    <t xml:space="preserve">s(t) = v * t   </t>
  </si>
  <si>
    <t>http://www.f-lohmueller.de/pov_tut/animate/anim260f.htm</t>
  </si>
  <si>
    <t>mouvement uniformément accéléré
      avec une accélération constante a :</t>
  </si>
  <si>
    <t>Points</t>
  </si>
  <si>
    <t>zone transmission</t>
  </si>
  <si>
    <t>accélération</t>
  </si>
  <si>
    <t>a = konstant</t>
  </si>
  <si>
    <t>Zone 3</t>
  </si>
  <si>
    <t>v(t) = a * t</t>
  </si>
  <si>
    <r>
      <t xml:space="preserve">s(t) = 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/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*a*t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 </t>
    </r>
  </si>
  <si>
    <t>Zone 2</t>
  </si>
  <si>
    <t>Vesrion:</t>
  </si>
  <si>
    <t>Zone 1</t>
  </si>
  <si>
    <t>Puissance = poids * distance^2 / Temps^3</t>
  </si>
  <si>
    <t>Hors-zone</t>
  </si>
  <si>
    <t>(Zone délimitée par le premier plot inclu et le dernier plot exclu)</t>
  </si>
  <si>
    <t>Choisir et assumer les rôles qui permettent un fonctionnement collectif solidaire.</t>
  </si>
  <si>
    <t>Refus</t>
  </si>
  <si>
    <t>Sporadique</t>
  </si>
  <si>
    <t>Intermittent</t>
  </si>
  <si>
    <t>Impliqué</t>
  </si>
  <si>
    <t>Organisation du relais 2x30m</t>
  </si>
  <si>
    <t>Chronométrage numérique du 10m, 15m, 30m et 40m en une course</t>
  </si>
  <si>
    <t>Applications IOS:</t>
  </si>
  <si>
    <t>Sprinttimer:</t>
  </si>
  <si>
    <t>https://apps.apple.com/fr/app/sprinttimer-photo-finish/id430807521</t>
  </si>
  <si>
    <t>Présentation vidéo de sprinttimer:</t>
  </si>
  <si>
    <t>https://www.youtube.com/watch?v=cq4m7NufwF0</t>
  </si>
  <si>
    <t>Applications Android:</t>
  </si>
  <si>
    <t>Mode d'emploi Srpinttimer:</t>
  </si>
  <si>
    <t>Coach's eye:</t>
  </si>
  <si>
    <t>https://www.ticeps.fr/wp-content/uploads/2014/09/Tuto-SpintTimer.pdf</t>
  </si>
  <si>
    <t>https://apkpure.com/coach-s-eye/com.techsmith.apps.coachseye.free</t>
  </si>
  <si>
    <t>Blog Srpinttimer:</t>
  </si>
  <si>
    <t>Présentation vidéo de Coach's eye:</t>
  </si>
  <si>
    <t>https://appmaker.se/blog/</t>
  </si>
  <si>
    <t>https://www.youtube.com/watch?v=BA-9cRCnwGc</t>
  </si>
  <si>
    <t>Beam Trainer BLE:</t>
  </si>
  <si>
    <t>https://play.google.com/store/apps/details?id=com.beamtrainerble&amp;hl=fr&amp;gl=US</t>
  </si>
  <si>
    <t>Mode d'emploi Beam Trainer BLE:</t>
  </si>
  <si>
    <t>https://eps.ac-creteil.fr/IMG/pdf/utilisation_de_beam_trainer.pdf</t>
  </si>
  <si>
    <t>Seconds count:</t>
  </si>
  <si>
    <t>Applications Windows:</t>
  </si>
  <si>
    <t>https://apkpure.com/video-stopwatch/us.secondscount</t>
  </si>
  <si>
    <t>Kinovea:</t>
  </si>
  <si>
    <t>Présentation vidéo de Seconds Count:</t>
  </si>
  <si>
    <t>https://www.kinovea.org/download.html</t>
  </si>
  <si>
    <t>https://www.youtube.com/watch?v=npKuSkt1Zcg</t>
  </si>
  <si>
    <t>Mode d'emploiKnovea:</t>
  </si>
  <si>
    <t>FAQ Seconds Count:</t>
  </si>
  <si>
    <t>Créer un réseau Wifi temporaire:</t>
  </si>
  <si>
    <t>https://eps.ac-besancon.fr/wp-content/uploads/sites/36/2016/07/Kinovea-2014.pdf</t>
  </si>
  <si>
    <t>https://secondscount.com/support</t>
  </si>
  <si>
    <t>https://appmaker.se/setting-up-a-battery-powered-router-for-start-sender/</t>
  </si>
  <si>
    <t>https://eps.ac-creteil.fr/IMG/pdf/ficheaccompagnement-creer_reseau_wifi.pdf</t>
  </si>
  <si>
    <t>Illustration: Romero-Franco &amp; al (2016), "Sprint performance and mechanical outputs computed with an iPhone app: Comparison with existing reference methods" in "European Journal of Sport Science" vol. 17 p.4</t>
  </si>
  <si>
    <t>https://is.gd/OPAQoA</t>
  </si>
  <si>
    <t>Sprint - Performance</t>
  </si>
  <si>
    <t>Sprint</t>
  </si>
  <si>
    <t>Nom Prénom</t>
  </si>
  <si>
    <t>10m</t>
  </si>
  <si>
    <t>15m</t>
  </si>
  <si>
    <t>40m</t>
  </si>
  <si>
    <t>Note
/20</t>
  </si>
  <si>
    <t>Temps</t>
  </si>
  <si>
    <t>Vitesse
en m/s</t>
  </si>
  <si>
    <t>Vitesse
en Km/h</t>
  </si>
  <si>
    <t>Basse</t>
  </si>
  <si>
    <t>Haute</t>
  </si>
  <si>
    <t>Retenu</t>
  </si>
  <si>
    <t>Note
/5</t>
  </si>
  <si>
    <t>Haut</t>
  </si>
  <si>
    <t>40m-15m</t>
  </si>
  <si>
    <t>(40m+30m)/2</t>
  </si>
  <si>
    <t>Moy</t>
  </si>
  <si>
    <t>Acune course</t>
  </si>
  <si>
    <t>Moy. F</t>
  </si>
  <si>
    <t>Une course</t>
  </si>
  <si>
    <t>Moy. M</t>
  </si>
  <si>
    <t>Deux courses ou plus</t>
  </si>
  <si>
    <t>Min. F</t>
  </si>
  <si>
    <t>Min. M</t>
  </si>
  <si>
    <t>Max. F</t>
  </si>
  <si>
    <t>Max. M</t>
  </si>
  <si>
    <t>Med. F</t>
  </si>
  <si>
    <t>Med. M</t>
  </si>
  <si>
    <t>Rang</t>
  </si>
  <si>
    <t>Vitesse</t>
  </si>
  <si>
    <t>Genre</t>
  </si>
  <si>
    <t>Temps 15m</t>
  </si>
  <si>
    <t>Rang Sprint</t>
  </si>
  <si>
    <t>30m</t>
  </si>
  <si>
    <t>Temps 30m</t>
  </si>
  <si>
    <t>Temps 40m</t>
  </si>
  <si>
    <t>Rang 30m</t>
  </si>
  <si>
    <t>rang 40m</t>
  </si>
  <si>
    <t>Rang 30m + Rang 40m</t>
  </si>
  <si>
    <t>Tps 60m</t>
  </si>
  <si>
    <t>A=&gt;B</t>
  </si>
  <si>
    <t>B=&gt;A</t>
  </si>
  <si>
    <t>Km/h</t>
  </si>
  <si>
    <t>Tps</t>
  </si>
  <si>
    <t xml:space="preserve">Doublon autorisé : </t>
  </si>
  <si>
    <t>Classemement des binômes par ordre décroissant des vitesses théoriques sur 2x30m (A=&gt;B)</t>
  </si>
  <si>
    <t>Coureur A</t>
  </si>
  <si>
    <t>Sexe</t>
  </si>
  <si>
    <t>Vitesse 30m</t>
  </si>
  <si>
    <t>Coureur B</t>
  </si>
  <si>
    <t>Tps 35m arrêté A</t>
  </si>
  <si>
    <t>Tps 25m Lancé B</t>
  </si>
  <si>
    <t>m/s</t>
  </si>
  <si>
    <t>km/h</t>
  </si>
  <si>
    <t>Tps 35m arrêté B</t>
  </si>
  <si>
    <t>Tps 25m Lancé A</t>
  </si>
  <si>
    <t>Vérif.</t>
  </si>
  <si>
    <t>Course N°</t>
  </si>
  <si>
    <t>-</t>
  </si>
  <si>
    <t>Vitesse moyenne</t>
  </si>
  <si>
    <t>Tps moy. 80m</t>
  </si>
  <si>
    <t>A</t>
  </si>
  <si>
    <t>=&gt;</t>
  </si>
  <si>
    <t>B</t>
  </si>
  <si>
    <t>C</t>
  </si>
  <si>
    <t>D</t>
  </si>
  <si>
    <t>E</t>
  </si>
  <si>
    <t>H</t>
  </si>
  <si>
    <t>I</t>
  </si>
  <si>
    <t>J</t>
  </si>
  <si>
    <t>K</t>
  </si>
  <si>
    <t>L</t>
  </si>
  <si>
    <t>N</t>
  </si>
  <si>
    <t>O</t>
  </si>
  <si>
    <t>P</t>
  </si>
  <si>
    <t>Q</t>
  </si>
  <si>
    <t>R</t>
  </si>
  <si>
    <t>S</t>
  </si>
  <si>
    <t>T</t>
  </si>
  <si>
    <t>Course</t>
  </si>
  <si>
    <t>Marque</t>
  </si>
  <si>
    <t>Théorique</t>
  </si>
  <si>
    <t>Temps final</t>
  </si>
  <si>
    <t>Zone</t>
  </si>
  <si>
    <t>Note Technique</t>
  </si>
  <si>
    <t>Note Perf /6</t>
  </si>
  <si>
    <t>Gain</t>
  </si>
  <si>
    <t>Note Gain
/ 6</t>
  </si>
  <si>
    <t>Note trans.
/ 6</t>
  </si>
  <si>
    <t>Donneur</t>
  </si>
  <si>
    <t>Receveur</t>
  </si>
  <si>
    <t>Tsp 2x30m</t>
  </si>
  <si>
    <t>Transmission</t>
  </si>
  <si>
    <t>D=&gt;G</t>
  </si>
  <si>
    <t>Bras tendu</t>
  </si>
  <si>
    <t>R: Devant</t>
  </si>
  <si>
    <t>D: Couloir</t>
  </si>
  <si>
    <t>2x60m</t>
  </si>
  <si>
    <t>Bas</t>
  </si>
  <si>
    <t>Note</t>
  </si>
  <si>
    <t>m.</t>
  </si>
  <si>
    <t>%</t>
  </si>
  <si>
    <t>Med F</t>
  </si>
  <si>
    <t>Med M</t>
  </si>
  <si>
    <t>Temps 10m</t>
  </si>
  <si>
    <t>Rang 10m</t>
  </si>
  <si>
    <t>rang 15m</t>
  </si>
  <si>
    <t>Rang 10m + Rang 15m</t>
  </si>
  <si>
    <t>Tombé</t>
  </si>
  <si>
    <t>Relais (1)</t>
  </si>
  <si>
    <t>Relais (2)</t>
  </si>
  <si>
    <t>Inapte
Abs
N.Not</t>
  </si>
  <si>
    <t>Gain /6</t>
  </si>
  <si>
    <t>Relais Trans
/6</t>
  </si>
  <si>
    <t>Perf
/6</t>
  </si>
  <si>
    <t>10m
 /5</t>
  </si>
  <si>
    <t>15m
/5</t>
  </si>
  <si>
    <t>40m
/5</t>
  </si>
  <si>
    <t>Méd. F</t>
  </si>
  <si>
    <t>Méd. M</t>
  </si>
  <si>
    <t>Volontaire</t>
  </si>
  <si>
    <t>Note zone/5</t>
  </si>
  <si>
    <t>Zone4</t>
  </si>
  <si>
    <t>Max Relais Trans
/6</t>
  </si>
  <si>
    <t>Engagement dans les rôles
/4</t>
  </si>
  <si>
    <t>Rôles
/4</t>
  </si>
  <si>
    <t>30m
/5</t>
  </si>
  <si>
    <t>30m
/15m</t>
  </si>
  <si>
    <t>40m
/30m</t>
  </si>
  <si>
    <t>Classement 15m Féminin</t>
  </si>
  <si>
    <t>Classement 15m Masculin</t>
  </si>
  <si>
    <t>Classement 15m Général</t>
  </si>
  <si>
    <t xml:space="preserve">Classement 30m Masculin </t>
  </si>
  <si>
    <t>Classement 30m Féminin</t>
  </si>
  <si>
    <t>Classement 30m Général</t>
  </si>
  <si>
    <t>Rang 40m</t>
  </si>
  <si>
    <t>Rang 15m</t>
  </si>
  <si>
    <t>Points zone / 4</t>
  </si>
  <si>
    <t>Note zone/4</t>
  </si>
  <si>
    <t>oui</t>
  </si>
  <si>
    <t>U</t>
  </si>
  <si>
    <t>v</t>
  </si>
  <si>
    <t>W</t>
  </si>
  <si>
    <t>X</t>
  </si>
  <si>
    <t>Y</t>
  </si>
  <si>
    <t>Z</t>
  </si>
  <si>
    <t>Max Relais Perf /3</t>
  </si>
  <si>
    <t>Max Relais Gain /3</t>
  </si>
  <si>
    <t>Note
Tech.
 /4</t>
  </si>
  <si>
    <t>Note Trans /8</t>
  </si>
  <si>
    <t>Mini.</t>
  </si>
  <si>
    <t>NON</t>
  </si>
  <si>
    <t>OUI</t>
  </si>
  <si>
    <t>Temps de référence du relais</t>
  </si>
  <si>
    <t>Dist. Réf.
Sprint
/4</t>
  </si>
  <si>
    <t>Accélération
30m/15m</t>
  </si>
  <si>
    <t>Accélération
40m/30m</t>
  </si>
  <si>
    <t>Accélération
15m/10m</t>
  </si>
  <si>
    <t>Accélération
sur 10m</t>
  </si>
  <si>
    <t>Maitrise transmission / 4
Nombre d'items respectés = Nombre de points</t>
  </si>
  <si>
    <t xml:space="preserve">J </t>
  </si>
  <si>
    <t>V</t>
  </si>
  <si>
    <t>non</t>
  </si>
  <si>
    <t>Les cellules en jaune sont modifiables.
Pour les autres, il faut déprotéger la feuille de calcul.
Les barèmes ne sont qu'un exemple.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</si>
</sst>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0.0%"/>
    <numFmt numFmtId="165" formatCode="0.0&quot; s&quot;"/>
    <numFmt numFmtId="166" formatCode="0.0"/>
    <numFmt numFmtId="167" formatCode="0.0&quot; km/h&quot;"/>
    <numFmt numFmtId="168" formatCode="0&quot; point(s)&quot;"/>
    <numFmt numFmtId="169" formatCode="&quot;Tps &quot;0&quot;m arrêté&quot;"/>
    <numFmt numFmtId="170" formatCode="&quot;Tps &quot;0&quot;m lancé théo&quot;"/>
    <numFmt numFmtId="171" formatCode="&quot;Tps &quot;0&quot;m arrêté théo&quot;"/>
    <numFmt numFmtId="172" formatCode="0.0&quot; m/s²&quot;"/>
    <numFmt numFmtId="173" formatCode="&quot;Tps &quot;0&quot;m&quot;"/>
    <numFmt numFmtId="174" formatCode="0&quot; m&quot;"/>
    <numFmt numFmtId="175" formatCode="0.0&quot; m&quot;"/>
    <numFmt numFmtId="176" formatCode="&quot;Note / &quot;0"/>
  </numFmts>
  <fonts count="4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u/>
      <sz val="10"/>
      <color indexed="12"/>
      <name val="Geneva"/>
      <charset val="134"/>
    </font>
    <font>
      <b/>
      <sz val="8"/>
      <name val="Arial"/>
      <family val="2"/>
    </font>
    <font>
      <sz val="10"/>
      <color theme="1"/>
      <name val="Calibri"/>
      <family val="2"/>
      <scheme val="minor"/>
    </font>
    <font>
      <b/>
      <sz val="8"/>
      <color indexed="14"/>
      <name val="Arial"/>
      <family val="2"/>
    </font>
    <font>
      <b/>
      <sz val="8"/>
      <color indexed="12"/>
      <name val="Arial"/>
      <family val="2"/>
    </font>
    <font>
      <sz val="9"/>
      <color indexed="81"/>
      <name val="宋体"/>
      <charset val="134"/>
    </font>
    <font>
      <sz val="8"/>
      <name val="Arial"/>
      <family val="2"/>
    </font>
    <font>
      <sz val="9"/>
      <name val="Tahoma"/>
      <family val="2"/>
    </font>
    <font>
      <sz val="9"/>
      <name val="Arial"/>
      <family val="2"/>
    </font>
    <font>
      <sz val="8"/>
      <color indexed="10"/>
      <name val="Arial"/>
      <family val="2"/>
    </font>
    <font>
      <sz val="1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u/>
      <sz val="11"/>
      <color indexed="12"/>
      <name val="Geneva"/>
      <charset val="134"/>
    </font>
    <font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charset val="1"/>
    </font>
    <font>
      <sz val="9"/>
      <color theme="1"/>
      <name val="Calibri"/>
      <family val="2"/>
      <scheme val="minor"/>
    </font>
    <font>
      <sz val="9"/>
      <color indexed="14"/>
      <name val="Arial"/>
      <family val="2"/>
    </font>
    <font>
      <sz val="9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b/>
      <u/>
      <sz val="11"/>
      <color theme="1"/>
      <name val="Calibri"/>
      <family val="2"/>
      <scheme val="minor"/>
    </font>
    <font>
      <sz val="11"/>
      <color theme="0"/>
      <name val="Arial"/>
      <family val="2"/>
    </font>
    <font>
      <b/>
      <sz val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CC"/>
        <bgColor rgb="FF000000"/>
      </patternFill>
    </fill>
    <fill>
      <patternFill patternType="solid">
        <fgColor indexed="4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C000"/>
      </patternFill>
    </fill>
    <fill>
      <patternFill patternType="solid">
        <fgColor rgb="FFDBF0C2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rgb="FFEBF1DE"/>
      </patternFill>
    </fill>
    <fill>
      <patternFill patternType="solid">
        <fgColor rgb="FFFFEBE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theme="6" tint="0.79998168889431442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3" tint="0.79998168889431442"/>
        <bgColor theme="6" tint="0.79998168889431442"/>
      </patternFill>
    </fill>
    <fill>
      <patternFill patternType="solid">
        <fgColor rgb="FFDCE6F2"/>
        <bgColor rgb="FFDBEEF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theme="6" tint="0.79998168889431442"/>
      </patternFill>
    </fill>
    <fill>
      <patternFill patternType="solid">
        <fgColor theme="3" tint="0.79998168889431442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medium">
        <color indexed="64"/>
      </right>
      <top style="thin">
        <color theme="4"/>
      </top>
      <bottom style="thin">
        <color theme="4"/>
      </bottom>
      <diagonal/>
    </border>
    <border>
      <left style="medium">
        <color indexed="64"/>
      </left>
      <right style="medium">
        <color indexed="64"/>
      </right>
      <top style="thin">
        <color theme="4"/>
      </top>
      <bottom style="medium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indexed="64"/>
      </bottom>
      <diagonal/>
    </border>
    <border>
      <left style="thin">
        <color theme="4"/>
      </left>
      <right style="medium">
        <color indexed="64"/>
      </right>
      <top style="thin">
        <color theme="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theme="4"/>
      </right>
      <top style="thin">
        <color theme="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theme="4"/>
      </top>
      <bottom/>
      <diagonal/>
    </border>
    <border>
      <left style="medium">
        <color indexed="64"/>
      </left>
      <right style="medium">
        <color indexed="64"/>
      </right>
      <top style="thin">
        <color theme="8" tint="-0.249977111117893"/>
      </top>
      <bottom style="thin">
        <color theme="4"/>
      </bottom>
      <diagonal/>
    </border>
    <border>
      <left style="medium">
        <color indexed="64"/>
      </left>
      <right style="medium">
        <color indexed="64"/>
      </right>
      <top style="thin">
        <color theme="4"/>
      </top>
      <bottom style="medium">
        <color theme="8" tint="-0.249977111117893"/>
      </bottom>
      <diagonal/>
    </border>
  </borders>
  <cellStyleXfs count="9">
    <xf numFmtId="0" fontId="0" fillId="0" borderId="0"/>
    <xf numFmtId="0" fontId="4" fillId="0" borderId="0" applyBorder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 applyBorder="0"/>
    <xf numFmtId="0" fontId="1" fillId="0" borderId="0" applyBorder="0"/>
    <xf numFmtId="9" fontId="1" fillId="0" borderId="0" applyFont="0" applyFill="0" applyBorder="0" applyAlignment="0" applyProtection="0"/>
    <xf numFmtId="0" fontId="1" fillId="0" borderId="0" applyBorder="0"/>
    <xf numFmtId="0" fontId="1" fillId="0" borderId="0" applyBorder="0"/>
    <xf numFmtId="0" fontId="4" fillId="0" borderId="0" applyBorder="0"/>
  </cellStyleXfs>
  <cellXfs count="710">
    <xf numFmtId="0" fontId="0" fillId="0" borderId="0" xfId="0"/>
    <xf numFmtId="0" fontId="4" fillId="0" borderId="0" xfId="1"/>
    <xf numFmtId="0" fontId="8" fillId="3" borderId="3" xfId="2" applyFont="1" applyFill="1" applyBorder="1" applyAlignment="1" applyProtection="1">
      <alignment horizontal="center" vertical="center" wrapText="1"/>
    </xf>
    <xf numFmtId="0" fontId="4" fillId="3" borderId="4" xfId="1" applyFill="1" applyBorder="1" applyAlignment="1">
      <alignment horizontal="center" vertical="center"/>
    </xf>
    <xf numFmtId="0" fontId="4" fillId="3" borderId="5" xfId="1" applyFill="1" applyBorder="1" applyAlignment="1">
      <alignment horizontal="center" vertical="center"/>
    </xf>
    <xf numFmtId="0" fontId="4" fillId="3" borderId="6" xfId="1" applyFill="1" applyBorder="1" applyAlignment="1">
      <alignment horizontal="center" vertical="center"/>
    </xf>
    <xf numFmtId="0" fontId="9" fillId="5" borderId="8" xfId="1" applyFont="1" applyFill="1" applyBorder="1" applyAlignment="1" applyProtection="1">
      <alignment horizontal="center" vertical="center"/>
      <protection locked="0"/>
    </xf>
    <xf numFmtId="0" fontId="9" fillId="5" borderId="9" xfId="1" applyFont="1" applyFill="1" applyBorder="1" applyAlignment="1" applyProtection="1">
      <alignment horizontal="left" vertical="center"/>
      <protection locked="0"/>
    </xf>
    <xf numFmtId="0" fontId="9" fillId="5" borderId="10" xfId="1" applyFont="1" applyFill="1" applyBorder="1" applyAlignment="1" applyProtection="1">
      <alignment horizontal="left" vertical="center"/>
      <protection locked="0"/>
    </xf>
    <xf numFmtId="0" fontId="3" fillId="0" borderId="0" xfId="1" applyFont="1"/>
    <xf numFmtId="0" fontId="3" fillId="0" borderId="0" xfId="1" quotePrefix="1" applyFont="1"/>
    <xf numFmtId="0" fontId="9" fillId="5" borderId="11" xfId="1" applyFont="1" applyFill="1" applyBorder="1" applyAlignment="1" applyProtection="1">
      <alignment horizontal="left" vertical="center"/>
      <protection locked="0"/>
    </xf>
    <xf numFmtId="0" fontId="9" fillId="5" borderId="13" xfId="1" applyFont="1" applyFill="1" applyBorder="1" applyAlignment="1" applyProtection="1">
      <alignment horizontal="center" vertical="center"/>
      <protection locked="0"/>
    </xf>
    <xf numFmtId="0" fontId="9" fillId="5" borderId="14" xfId="1" applyFont="1" applyFill="1" applyBorder="1" applyAlignment="1" applyProtection="1">
      <alignment horizontal="left" vertical="center"/>
      <protection locked="0"/>
    </xf>
    <xf numFmtId="0" fontId="9" fillId="5" borderId="15" xfId="1" applyFont="1" applyFill="1" applyBorder="1" applyAlignment="1" applyProtection="1">
      <alignment horizontal="left" vertical="center"/>
      <protection locked="0"/>
    </xf>
    <xf numFmtId="0" fontId="9" fillId="5" borderId="16" xfId="1" applyFont="1" applyFill="1" applyBorder="1" applyAlignment="1" applyProtection="1">
      <alignment horizontal="left" vertical="center"/>
      <protection locked="0"/>
    </xf>
    <xf numFmtId="0" fontId="4" fillId="0" borderId="17" xfId="1" applyBorder="1" applyAlignment="1">
      <alignment horizontal="right" vertical="center"/>
    </xf>
    <xf numFmtId="0" fontId="10" fillId="6" borderId="7" xfId="3" applyFont="1" applyFill="1" applyBorder="1" applyAlignment="1">
      <alignment horizontal="right" vertical="center"/>
    </xf>
    <xf numFmtId="1" fontId="4" fillId="0" borderId="8" xfId="1" applyNumberFormat="1" applyBorder="1" applyAlignment="1">
      <alignment horizontal="center" vertical="center"/>
    </xf>
    <xf numFmtId="0" fontId="11" fillId="6" borderId="7" xfId="3" applyFont="1" applyFill="1" applyBorder="1" applyAlignment="1">
      <alignment horizontal="right" vertical="center"/>
    </xf>
    <xf numFmtId="0" fontId="1" fillId="0" borderId="0" xfId="4"/>
    <xf numFmtId="0" fontId="5" fillId="0" borderId="0" xfId="4" applyFont="1" applyBorder="1" applyAlignment="1">
      <alignment horizontal="center" vertical="center"/>
    </xf>
    <xf numFmtId="0" fontId="4" fillId="0" borderId="0" xfId="4" applyFont="1" applyAlignment="1">
      <alignment vertical="center"/>
    </xf>
    <xf numFmtId="0" fontId="5" fillId="0" borderId="0" xfId="4" applyFont="1" applyBorder="1" applyAlignment="1">
      <alignment horizontal="center" vertical="center" wrapText="1"/>
    </xf>
    <xf numFmtId="0" fontId="1" fillId="0" borderId="0" xfId="3"/>
    <xf numFmtId="0" fontId="4" fillId="7" borderId="7" xfId="4" applyFont="1" applyFill="1" applyBorder="1" applyAlignment="1">
      <alignment horizontal="center" wrapText="1"/>
    </xf>
    <xf numFmtId="0" fontId="4" fillId="8" borderId="7" xfId="4" applyFont="1" applyFill="1" applyBorder="1" applyAlignment="1">
      <alignment horizontal="center" wrapText="1"/>
    </xf>
    <xf numFmtId="0" fontId="4" fillId="9" borderId="7" xfId="4" applyFont="1" applyFill="1" applyBorder="1" applyAlignment="1">
      <alignment horizontal="center" wrapText="1"/>
    </xf>
    <xf numFmtId="0" fontId="4" fillId="9" borderId="0" xfId="4" applyFont="1" applyFill="1" applyBorder="1" applyAlignment="1">
      <alignment horizontal="center" wrapText="1"/>
    </xf>
    <xf numFmtId="0" fontId="4" fillId="0" borderId="0" xfId="4" applyFont="1" applyAlignment="1">
      <alignment horizontal="center"/>
    </xf>
    <xf numFmtId="0" fontId="4" fillId="10" borderId="7" xfId="4" applyFont="1" applyFill="1" applyBorder="1" applyAlignment="1">
      <alignment horizontal="center" wrapText="1"/>
    </xf>
    <xf numFmtId="164" fontId="14" fillId="0" borderId="7" xfId="5" applyNumberFormat="1" applyFont="1" applyBorder="1" applyAlignment="1">
      <alignment horizontal="center" vertical="center"/>
    </xf>
    <xf numFmtId="2" fontId="14" fillId="0" borderId="7" xfId="4" applyNumberFormat="1" applyFont="1" applyBorder="1" applyAlignment="1">
      <alignment horizontal="center" vertical="center"/>
    </xf>
    <xf numFmtId="0" fontId="4" fillId="0" borderId="9" xfId="4" applyFont="1" applyBorder="1" applyAlignment="1">
      <alignment horizontal="center" vertical="center"/>
    </xf>
    <xf numFmtId="0" fontId="15" fillId="0" borderId="0" xfId="4" applyFont="1" applyBorder="1" applyAlignment="1">
      <alignment vertical="center"/>
    </xf>
    <xf numFmtId="165" fontId="4" fillId="0" borderId="24" xfId="4" applyNumberFormat="1" applyFont="1" applyBorder="1" applyAlignment="1">
      <alignment horizontal="center" vertical="center" wrapText="1"/>
    </xf>
    <xf numFmtId="165" fontId="4" fillId="0" borderId="25" xfId="4" applyNumberFormat="1" applyFont="1" applyBorder="1" applyAlignment="1">
      <alignment horizontal="center" vertical="center" wrapText="1"/>
    </xf>
    <xf numFmtId="166" fontId="4" fillId="9" borderId="7" xfId="4" applyNumberFormat="1" applyFont="1" applyFill="1" applyBorder="1" applyAlignment="1">
      <alignment horizontal="center" vertical="center" wrapText="1"/>
    </xf>
    <xf numFmtId="0" fontId="1" fillId="0" borderId="0" xfId="4" applyAlignment="1">
      <alignment horizontal="center" vertical="center"/>
    </xf>
    <xf numFmtId="166" fontId="4" fillId="9" borderId="0" xfId="4" applyNumberFormat="1" applyFont="1" applyFill="1" applyBorder="1" applyAlignment="1">
      <alignment horizontal="center" vertical="center" wrapText="1"/>
    </xf>
    <xf numFmtId="165" fontId="4" fillId="0" borderId="7" xfId="4" applyNumberFormat="1" applyFont="1" applyBorder="1" applyAlignment="1">
      <alignment horizontal="center" vertical="center" wrapText="1"/>
    </xf>
    <xf numFmtId="167" fontId="4" fillId="0" borderId="25" xfId="4" applyNumberFormat="1" applyFont="1" applyBorder="1" applyAlignment="1">
      <alignment horizontal="center" vertical="center" wrapText="1"/>
    </xf>
    <xf numFmtId="2" fontId="4" fillId="9" borderId="7" xfId="4" applyNumberFormat="1" applyFont="1" applyFill="1" applyBorder="1" applyAlignment="1">
      <alignment horizontal="center" vertical="center" wrapText="1"/>
    </xf>
    <xf numFmtId="0" fontId="16" fillId="0" borderId="0" xfId="4" applyFont="1" applyAlignment="1">
      <alignment horizontal="center" vertical="center"/>
    </xf>
    <xf numFmtId="165" fontId="4" fillId="0" borderId="7" xfId="4" applyNumberFormat="1" applyFont="1" applyBorder="1" applyAlignment="1">
      <alignment horizontal="center" vertical="center"/>
    </xf>
    <xf numFmtId="10" fontId="14" fillId="0" borderId="7" xfId="5" applyNumberFormat="1" applyFont="1" applyBorder="1" applyAlignment="1">
      <alignment horizontal="center" vertical="center"/>
    </xf>
    <xf numFmtId="0" fontId="1" fillId="0" borderId="9" xfId="4" applyBorder="1" applyAlignment="1">
      <alignment horizontal="center" vertical="center"/>
    </xf>
    <xf numFmtId="0" fontId="2" fillId="0" borderId="0" xfId="4" applyFont="1" applyAlignment="1">
      <alignment horizontal="left"/>
    </xf>
    <xf numFmtId="0" fontId="1" fillId="0" borderId="27" xfId="4" applyBorder="1" applyAlignment="1">
      <alignment vertical="center" wrapText="1"/>
    </xf>
    <xf numFmtId="0" fontId="2" fillId="0" borderId="27" xfId="4" applyFont="1" applyBorder="1" applyAlignment="1">
      <alignment vertical="center" wrapText="1"/>
    </xf>
    <xf numFmtId="0" fontId="4" fillId="0" borderId="14" xfId="4" applyFont="1" applyBorder="1" applyAlignment="1">
      <alignment horizontal="center" vertical="center"/>
    </xf>
    <xf numFmtId="0" fontId="1" fillId="0" borderId="0" xfId="4" applyAlignment="1">
      <alignment vertical="center"/>
    </xf>
    <xf numFmtId="0" fontId="1" fillId="0" borderId="0" xfId="4" applyBorder="1" applyAlignment="1">
      <alignment vertical="center"/>
    </xf>
    <xf numFmtId="0" fontId="7" fillId="0" borderId="0" xfId="2" applyAlignment="1" applyProtection="1">
      <alignment horizontal="left" vertical="center"/>
    </xf>
    <xf numFmtId="0" fontId="2" fillId="0" borderId="0" xfId="4" applyFont="1" applyBorder="1" applyAlignment="1">
      <alignment horizontal="center" vertical="center"/>
    </xf>
    <xf numFmtId="0" fontId="1" fillId="0" borderId="0" xfId="4" applyBorder="1"/>
    <xf numFmtId="0" fontId="17" fillId="0" borderId="0" xfId="4" applyFont="1" applyBorder="1" applyAlignment="1">
      <alignment horizontal="center" vertical="center"/>
    </xf>
    <xf numFmtId="0" fontId="17" fillId="0" borderId="0" xfId="4" applyFont="1" applyBorder="1"/>
    <xf numFmtId="0" fontId="4" fillId="0" borderId="0" xfId="4" applyFont="1" applyAlignment="1">
      <alignment horizontal="center" vertical="center"/>
    </xf>
    <xf numFmtId="0" fontId="1" fillId="0" borderId="0" xfId="4" applyAlignment="1">
      <alignment horizontal="center"/>
    </xf>
    <xf numFmtId="0" fontId="20" fillId="0" borderId="0" xfId="4" applyFont="1" applyBorder="1" applyAlignment="1">
      <alignment horizontal="center" vertical="center"/>
    </xf>
    <xf numFmtId="0" fontId="9" fillId="0" borderId="14" xfId="4" applyFont="1" applyBorder="1" applyAlignment="1">
      <alignment horizontal="center" vertical="center"/>
    </xf>
    <xf numFmtId="0" fontId="17" fillId="0" borderId="0" xfId="4" applyFont="1"/>
    <xf numFmtId="168" fontId="1" fillId="0" borderId="7" xfId="6" applyNumberFormat="1" applyBorder="1" applyAlignment="1">
      <alignment horizontal="center" vertical="center"/>
    </xf>
    <xf numFmtId="168" fontId="4" fillId="0" borderId="7" xfId="6" applyNumberFormat="1" applyFont="1" applyBorder="1" applyAlignment="1">
      <alignment horizontal="center" vertical="center"/>
    </xf>
    <xf numFmtId="0" fontId="1" fillId="0" borderId="0" xfId="4" applyAlignment="1">
      <alignment horizontal="left"/>
    </xf>
    <xf numFmtId="0" fontId="4" fillId="0" borderId="0" xfId="4" applyFont="1"/>
    <xf numFmtId="0" fontId="5" fillId="0" borderId="0" xfId="4" applyFont="1" applyAlignment="1">
      <alignment horizontal="left" vertical="center"/>
    </xf>
    <xf numFmtId="0" fontId="15" fillId="0" borderId="0" xfId="4" applyFont="1"/>
    <xf numFmtId="0" fontId="4" fillId="0" borderId="0" xfId="3" applyFont="1" applyAlignment="1">
      <alignment horizontal="center"/>
    </xf>
    <xf numFmtId="0" fontId="1" fillId="0" borderId="0" xfId="3" applyAlignment="1">
      <alignment horizontal="center"/>
    </xf>
    <xf numFmtId="0" fontId="4" fillId="0" borderId="0" xfId="3" applyFont="1"/>
    <xf numFmtId="0" fontId="1" fillId="0" borderId="0" xfId="3" applyBorder="1"/>
    <xf numFmtId="0" fontId="1" fillId="0" borderId="0" xfId="3" applyAlignment="1">
      <alignment horizontal="right"/>
    </xf>
    <xf numFmtId="0" fontId="5" fillId="0" borderId="0" xfId="3" applyFont="1" applyAlignment="1">
      <alignment horizontal="left" vertical="center"/>
    </xf>
    <xf numFmtId="0" fontId="0" fillId="0" borderId="0" xfId="4" applyFont="1" applyAlignment="1">
      <alignment horizontal="left"/>
    </xf>
    <xf numFmtId="0" fontId="23" fillId="0" borderId="0" xfId="2" applyFont="1" applyAlignment="1" applyProtection="1"/>
    <xf numFmtId="0" fontId="2" fillId="0" borderId="0" xfId="4" applyFont="1"/>
    <xf numFmtId="0" fontId="0" fillId="0" borderId="0" xfId="4" applyFont="1" applyAlignment="1">
      <alignment horizontal="left" vertical="center"/>
    </xf>
    <xf numFmtId="0" fontId="1" fillId="0" borderId="0" xfId="4" applyAlignment="1">
      <alignment horizontal="left" vertical="center"/>
    </xf>
    <xf numFmtId="0" fontId="7" fillId="0" borderId="0" xfId="2" applyAlignment="1" applyProtection="1"/>
    <xf numFmtId="0" fontId="2" fillId="0" borderId="0" xfId="3" applyFont="1"/>
    <xf numFmtId="0" fontId="1" fillId="12" borderId="0" xfId="3" applyFill="1"/>
    <xf numFmtId="2" fontId="1" fillId="0" borderId="0" xfId="3" applyNumberFormat="1"/>
    <xf numFmtId="0" fontId="24" fillId="0" borderId="35" xfId="4" applyFont="1" applyBorder="1" applyAlignment="1">
      <alignment horizontal="center" vertical="center"/>
    </xf>
    <xf numFmtId="0" fontId="24" fillId="0" borderId="36" xfId="4" applyFont="1" applyBorder="1" applyAlignment="1">
      <alignment horizontal="center" vertical="center"/>
    </xf>
    <xf numFmtId="166" fontId="25" fillId="15" borderId="37" xfId="4" applyNumberFormat="1" applyFont="1" applyFill="1" applyBorder="1" applyAlignment="1">
      <alignment horizontal="center" vertical="center" wrapText="1"/>
    </xf>
    <xf numFmtId="0" fontId="13" fillId="14" borderId="38" xfId="7" applyFont="1" applyFill="1" applyBorder="1" applyAlignment="1">
      <alignment horizontal="center" vertical="center"/>
    </xf>
    <xf numFmtId="0" fontId="13" fillId="14" borderId="39" xfId="7" applyFont="1" applyFill="1" applyBorder="1" applyAlignment="1">
      <alignment horizontal="center" vertical="center"/>
    </xf>
    <xf numFmtId="0" fontId="13" fillId="16" borderId="35" xfId="6" applyFont="1" applyFill="1" applyBorder="1" applyAlignment="1">
      <alignment horizontal="center" vertical="center" wrapText="1"/>
    </xf>
    <xf numFmtId="0" fontId="13" fillId="0" borderId="39" xfId="7" applyFont="1" applyBorder="1" applyAlignment="1">
      <alignment horizontal="center" vertical="center" wrapText="1"/>
    </xf>
    <xf numFmtId="0" fontId="13" fillId="0" borderId="24" xfId="7" applyFont="1" applyBorder="1" applyAlignment="1">
      <alignment horizontal="center" vertical="center" wrapText="1"/>
    </xf>
    <xf numFmtId="0" fontId="13" fillId="0" borderId="40" xfId="4" applyFont="1" applyBorder="1" applyAlignment="1">
      <alignment horizontal="center" vertical="center" wrapText="1"/>
    </xf>
    <xf numFmtId="0" fontId="13" fillId="12" borderId="40" xfId="6" applyFont="1" applyFill="1" applyBorder="1" applyAlignment="1">
      <alignment horizontal="center" vertical="center" wrapText="1"/>
    </xf>
    <xf numFmtId="0" fontId="13" fillId="12" borderId="35" xfId="6" applyFont="1" applyFill="1" applyBorder="1" applyAlignment="1">
      <alignment horizontal="center" vertical="center" wrapText="1"/>
    </xf>
    <xf numFmtId="0" fontId="13" fillId="12" borderId="36" xfId="6" applyFont="1" applyFill="1" applyBorder="1" applyAlignment="1">
      <alignment horizontal="center" vertical="center" wrapText="1"/>
    </xf>
    <xf numFmtId="166" fontId="25" fillId="15" borderId="41" xfId="6" applyNumberFormat="1" applyFont="1" applyFill="1" applyBorder="1" applyAlignment="1">
      <alignment horizontal="center" vertical="center" wrapText="1"/>
    </xf>
    <xf numFmtId="0" fontId="13" fillId="14" borderId="40" xfId="4" applyFont="1" applyFill="1" applyBorder="1" applyAlignment="1">
      <alignment horizontal="center" vertical="center"/>
    </xf>
    <xf numFmtId="0" fontId="13" fillId="14" borderId="35" xfId="4" applyFont="1" applyFill="1" applyBorder="1" applyAlignment="1">
      <alignment horizontal="center" vertical="center"/>
    </xf>
    <xf numFmtId="166" fontId="25" fillId="15" borderId="41" xfId="4" applyNumberFormat="1" applyFont="1" applyFill="1" applyBorder="1" applyAlignment="1">
      <alignment horizontal="center" vertical="center" wrapText="1"/>
    </xf>
    <xf numFmtId="0" fontId="13" fillId="0" borderId="35" xfId="4" applyFont="1" applyBorder="1" applyAlignment="1">
      <alignment horizontal="center" vertical="center" wrapText="1"/>
    </xf>
    <xf numFmtId="0" fontId="13" fillId="12" borderId="40" xfId="4" applyFont="1" applyFill="1" applyBorder="1" applyAlignment="1">
      <alignment horizontal="center" vertical="center" wrapText="1"/>
    </xf>
    <xf numFmtId="0" fontId="13" fillId="12" borderId="35" xfId="4" applyFont="1" applyFill="1" applyBorder="1" applyAlignment="1">
      <alignment horizontal="center" vertical="center" wrapText="1"/>
    </xf>
    <xf numFmtId="0" fontId="13" fillId="12" borderId="36" xfId="4" applyFont="1" applyFill="1" applyBorder="1" applyAlignment="1">
      <alignment horizontal="center" vertical="center" wrapText="1"/>
    </xf>
    <xf numFmtId="0" fontId="13" fillId="14" borderId="42" xfId="4" applyFont="1" applyFill="1" applyBorder="1" applyAlignment="1">
      <alignment horizontal="center" vertical="center"/>
    </xf>
    <xf numFmtId="2" fontId="13" fillId="0" borderId="35" xfId="4" applyNumberFormat="1" applyFont="1" applyBorder="1" applyAlignment="1">
      <alignment horizontal="center" vertical="center" wrapText="1"/>
    </xf>
    <xf numFmtId="0" fontId="13" fillId="14" borderId="43" xfId="4" applyFont="1" applyFill="1" applyBorder="1" applyAlignment="1">
      <alignment horizontal="center" vertical="center"/>
    </xf>
    <xf numFmtId="0" fontId="13" fillId="14" borderId="44" xfId="4" applyFont="1" applyFill="1" applyBorder="1" applyAlignment="1">
      <alignment horizontal="center" vertical="center"/>
    </xf>
    <xf numFmtId="0" fontId="13" fillId="14" borderId="44" xfId="4" applyFont="1" applyFill="1" applyBorder="1" applyAlignment="1">
      <alignment horizontal="center" vertical="center" wrapText="1"/>
    </xf>
    <xf numFmtId="0" fontId="13" fillId="0" borderId="44" xfId="4" applyFont="1" applyBorder="1" applyAlignment="1">
      <alignment horizontal="center" vertical="center" wrapText="1"/>
    </xf>
    <xf numFmtId="0" fontId="13" fillId="0" borderId="45" xfId="4" applyFont="1" applyBorder="1" applyAlignment="1">
      <alignment horizontal="center" vertical="center" wrapText="1"/>
    </xf>
    <xf numFmtId="0" fontId="13" fillId="12" borderId="44" xfId="4" applyFont="1" applyFill="1" applyBorder="1" applyAlignment="1">
      <alignment horizontal="center" vertical="center" wrapText="1"/>
    </xf>
    <xf numFmtId="166" fontId="25" fillId="15" borderId="46" xfId="4" applyNumberFormat="1" applyFont="1" applyFill="1" applyBorder="1" applyAlignment="1">
      <alignment horizontal="center" vertical="center" wrapText="1"/>
    </xf>
    <xf numFmtId="0" fontId="24" fillId="0" borderId="43" xfId="4" applyFont="1" applyBorder="1" applyAlignment="1">
      <alignment horizontal="center" vertical="center" wrapText="1"/>
    </xf>
    <xf numFmtId="0" fontId="13" fillId="0" borderId="46" xfId="4" applyFont="1" applyBorder="1" applyAlignment="1">
      <alignment horizontal="center" vertical="center" wrapText="1"/>
    </xf>
    <xf numFmtId="0" fontId="13" fillId="0" borderId="20" xfId="4" applyFont="1" applyBorder="1" applyAlignment="1">
      <alignment horizontal="center" vertical="center" wrapText="1"/>
    </xf>
    <xf numFmtId="0" fontId="24" fillId="0" borderId="0" xfId="3" applyFont="1" applyAlignment="1">
      <alignment wrapText="1"/>
    </xf>
    <xf numFmtId="0" fontId="17" fillId="17" borderId="47" xfId="4" applyFont="1" applyFill="1" applyBorder="1" applyAlignment="1">
      <alignment horizontal="center" vertical="center"/>
    </xf>
    <xf numFmtId="0" fontId="17" fillId="17" borderId="48" xfId="4" applyFont="1" applyFill="1" applyBorder="1" applyAlignment="1">
      <alignment horizontal="center" vertical="center"/>
    </xf>
    <xf numFmtId="0" fontId="9" fillId="0" borderId="24" xfId="4" applyFont="1" applyBorder="1" applyAlignment="1">
      <alignment horizontal="center" vertical="center"/>
    </xf>
    <xf numFmtId="0" fontId="9" fillId="0" borderId="17" xfId="4" applyFont="1" applyBorder="1" applyAlignment="1">
      <alignment horizontal="center" vertical="center"/>
    </xf>
    <xf numFmtId="2" fontId="26" fillId="18" borderId="49" xfId="4" applyNumberFormat="1" applyFont="1" applyFill="1" applyBorder="1" applyAlignment="1">
      <alignment horizontal="center" vertical="center"/>
    </xf>
    <xf numFmtId="166" fontId="17" fillId="19" borderId="9" xfId="7" applyNumberFormat="1" applyFont="1" applyFill="1" applyBorder="1" applyAlignment="1" applyProtection="1">
      <alignment horizontal="center" vertical="center"/>
      <protection locked="0"/>
    </xf>
    <xf numFmtId="166" fontId="17" fillId="19" borderId="7" xfId="7" applyNumberFormat="1" applyFont="1" applyFill="1" applyBorder="1" applyAlignment="1" applyProtection="1">
      <alignment horizontal="center" vertical="center"/>
      <protection locked="0"/>
    </xf>
    <xf numFmtId="165" fontId="17" fillId="20" borderId="7" xfId="6" applyNumberFormat="1" applyFont="1" applyFill="1" applyBorder="1" applyAlignment="1">
      <alignment horizontal="center" vertical="center"/>
    </xf>
    <xf numFmtId="166" fontId="17" fillId="21" borderId="7" xfId="6" applyNumberFormat="1" applyFont="1" applyFill="1" applyBorder="1" applyAlignment="1">
      <alignment horizontal="center" vertical="center"/>
    </xf>
    <xf numFmtId="167" fontId="17" fillId="21" borderId="7" xfId="7" applyNumberFormat="1" applyFont="1" applyFill="1" applyBorder="1" applyAlignment="1">
      <alignment horizontal="center" vertical="center"/>
    </xf>
    <xf numFmtId="172" fontId="17" fillId="21" borderId="25" xfId="4" applyNumberFormat="1" applyFont="1" applyFill="1" applyBorder="1" applyAlignment="1">
      <alignment horizontal="center" vertical="center"/>
    </xf>
    <xf numFmtId="166" fontId="26" fillId="12" borderId="25" xfId="6" applyNumberFormat="1" applyFont="1" applyFill="1" applyBorder="1" applyAlignment="1">
      <alignment horizontal="center" vertical="center"/>
    </xf>
    <xf numFmtId="166" fontId="26" fillId="12" borderId="7" xfId="6" applyNumberFormat="1" applyFont="1" applyFill="1" applyBorder="1" applyAlignment="1">
      <alignment horizontal="center" vertical="center"/>
    </xf>
    <xf numFmtId="2" fontId="26" fillId="18" borderId="49" xfId="6" applyNumberFormat="1" applyFont="1" applyFill="1" applyBorder="1" applyAlignment="1">
      <alignment horizontal="center" vertical="center"/>
    </xf>
    <xf numFmtId="166" fontId="17" fillId="19" borderId="25" xfId="4" quotePrefix="1" applyNumberFormat="1" applyFont="1" applyFill="1" applyBorder="1" applyAlignment="1" applyProtection="1">
      <alignment horizontal="center" vertical="center"/>
      <protection locked="0"/>
    </xf>
    <xf numFmtId="166" fontId="17" fillId="19" borderId="24" xfId="4" applyNumberFormat="1" applyFont="1" applyFill="1" applyBorder="1" applyAlignment="1" applyProtection="1">
      <alignment horizontal="center" vertical="center"/>
      <protection locked="0"/>
    </xf>
    <xf numFmtId="165" fontId="17" fillId="20" borderId="7" xfId="4" applyNumberFormat="1" applyFont="1" applyFill="1" applyBorder="1" applyAlignment="1">
      <alignment horizontal="center" vertical="center"/>
    </xf>
    <xf numFmtId="166" fontId="17" fillId="21" borderId="7" xfId="4" applyNumberFormat="1" applyFont="1" applyFill="1" applyBorder="1" applyAlignment="1">
      <alignment horizontal="center" vertical="center"/>
    </xf>
    <xf numFmtId="166" fontId="26" fillId="12" borderId="25" xfId="4" applyNumberFormat="1" applyFont="1" applyFill="1" applyBorder="1" applyAlignment="1">
      <alignment horizontal="center" vertical="center"/>
    </xf>
    <xf numFmtId="166" fontId="26" fillId="12" borderId="7" xfId="4" applyNumberFormat="1" applyFont="1" applyFill="1" applyBorder="1" applyAlignment="1">
      <alignment horizontal="center" vertical="center"/>
    </xf>
    <xf numFmtId="166" fontId="26" fillId="12" borderId="17" xfId="4" applyNumberFormat="1" applyFont="1" applyFill="1" applyBorder="1" applyAlignment="1">
      <alignment horizontal="center" vertical="center"/>
    </xf>
    <xf numFmtId="166" fontId="17" fillId="22" borderId="32" xfId="4" applyNumberFormat="1" applyFont="1" applyFill="1" applyBorder="1" applyAlignment="1" applyProtection="1">
      <alignment horizontal="center" vertical="center"/>
      <protection locked="0"/>
    </xf>
    <xf numFmtId="166" fontId="17" fillId="22" borderId="24" xfId="4" applyNumberFormat="1" applyFont="1" applyFill="1" applyBorder="1" applyAlignment="1" applyProtection="1">
      <alignment horizontal="center" vertical="center"/>
      <protection locked="0"/>
    </xf>
    <xf numFmtId="9" fontId="17" fillId="21" borderId="7" xfId="5" applyFont="1" applyFill="1" applyBorder="1" applyAlignment="1" applyProtection="1">
      <alignment horizontal="center" vertical="center"/>
    </xf>
    <xf numFmtId="166" fontId="26" fillId="12" borderId="24" xfId="4" applyNumberFormat="1" applyFont="1" applyFill="1" applyBorder="1" applyAlignment="1">
      <alignment horizontal="center" vertical="center"/>
    </xf>
    <xf numFmtId="166" fontId="27" fillId="23" borderId="32" xfId="0" applyNumberFormat="1" applyFont="1" applyFill="1" applyBorder="1" applyAlignment="1" applyProtection="1">
      <alignment horizontal="center" vertical="center"/>
      <protection locked="0"/>
    </xf>
    <xf numFmtId="166" fontId="27" fillId="23" borderId="24" xfId="0" applyNumberFormat="1" applyFont="1" applyFill="1" applyBorder="1" applyAlignment="1" applyProtection="1">
      <alignment horizontal="center" vertical="center"/>
      <protection locked="0"/>
    </xf>
    <xf numFmtId="165" fontId="17" fillId="21" borderId="9" xfId="4" applyNumberFormat="1" applyFont="1" applyFill="1" applyBorder="1" applyAlignment="1">
      <alignment horizontal="center" vertical="center"/>
    </xf>
    <xf numFmtId="166" fontId="17" fillId="21" borderId="10" xfId="4" applyNumberFormat="1" applyFont="1" applyFill="1" applyBorder="1" applyAlignment="1">
      <alignment horizontal="center" vertical="center"/>
    </xf>
    <xf numFmtId="165" fontId="17" fillId="21" borderId="47" xfId="4" applyNumberFormat="1" applyFont="1" applyFill="1" applyBorder="1" applyAlignment="1">
      <alignment horizontal="center" vertical="center"/>
    </xf>
    <xf numFmtId="0" fontId="17" fillId="24" borderId="50" xfId="4" applyFont="1" applyFill="1" applyBorder="1" applyAlignment="1">
      <alignment horizontal="center" vertical="center"/>
    </xf>
    <xf numFmtId="0" fontId="17" fillId="24" borderId="51" xfId="4" applyFont="1" applyFill="1" applyBorder="1" applyAlignment="1">
      <alignment horizontal="center" vertical="center"/>
    </xf>
    <xf numFmtId="2" fontId="26" fillId="25" borderId="10" xfId="4" applyNumberFormat="1" applyFont="1" applyFill="1" applyBorder="1" applyAlignment="1">
      <alignment horizontal="center" vertical="center"/>
    </xf>
    <xf numFmtId="166" fontId="17" fillId="26" borderId="9" xfId="7" applyNumberFormat="1" applyFont="1" applyFill="1" applyBorder="1" applyAlignment="1" applyProtection="1">
      <alignment horizontal="center" vertical="center"/>
      <protection locked="0"/>
    </xf>
    <xf numFmtId="166" fontId="17" fillId="26" borderId="24" xfId="7" applyNumberFormat="1" applyFont="1" applyFill="1" applyBorder="1" applyAlignment="1" applyProtection="1">
      <alignment horizontal="center" vertical="center"/>
      <protection locked="0"/>
    </xf>
    <xf numFmtId="166" fontId="17" fillId="26" borderId="7" xfId="7" applyNumberFormat="1" applyFont="1" applyFill="1" applyBorder="1" applyAlignment="1" applyProtection="1">
      <alignment horizontal="center" vertical="center"/>
      <protection locked="0"/>
    </xf>
    <xf numFmtId="165" fontId="17" fillId="27" borderId="7" xfId="6" applyNumberFormat="1" applyFont="1" applyFill="1" applyBorder="1" applyAlignment="1">
      <alignment horizontal="center" vertical="center"/>
    </xf>
    <xf numFmtId="166" fontId="17" fillId="12" borderId="7" xfId="6" applyNumberFormat="1" applyFont="1" applyFill="1" applyBorder="1" applyAlignment="1">
      <alignment horizontal="center" vertical="center"/>
    </xf>
    <xf numFmtId="167" fontId="17" fillId="12" borderId="7" xfId="7" applyNumberFormat="1" applyFont="1" applyFill="1" applyBorder="1" applyAlignment="1">
      <alignment horizontal="center" vertical="center"/>
    </xf>
    <xf numFmtId="172" fontId="17" fillId="12" borderId="19" xfId="4" applyNumberFormat="1" applyFont="1" applyFill="1" applyBorder="1" applyAlignment="1">
      <alignment horizontal="center" vertical="center"/>
    </xf>
    <xf numFmtId="166" fontId="26" fillId="12" borderId="19" xfId="6" applyNumberFormat="1" applyFont="1" applyFill="1" applyBorder="1" applyAlignment="1">
      <alignment horizontal="center" vertical="center"/>
    </xf>
    <xf numFmtId="166" fontId="26" fillId="12" borderId="8" xfId="6" applyNumberFormat="1" applyFont="1" applyFill="1" applyBorder="1" applyAlignment="1">
      <alignment horizontal="center" vertical="center"/>
    </xf>
    <xf numFmtId="2" fontId="26" fillId="25" borderId="10" xfId="6" applyNumberFormat="1" applyFont="1" applyFill="1" applyBorder="1" applyAlignment="1">
      <alignment horizontal="center" vertical="center"/>
    </xf>
    <xf numFmtId="166" fontId="17" fillId="26" borderId="19" xfId="4" applyNumberFormat="1" applyFont="1" applyFill="1" applyBorder="1" applyAlignment="1" applyProtection="1">
      <alignment horizontal="center" vertical="center"/>
      <protection locked="0"/>
    </xf>
    <xf numFmtId="166" fontId="17" fillId="26" borderId="24" xfId="4" quotePrefix="1" applyNumberFormat="1" applyFont="1" applyFill="1" applyBorder="1" applyAlignment="1" applyProtection="1">
      <alignment horizontal="center" vertical="center"/>
      <protection locked="0"/>
    </xf>
    <xf numFmtId="166" fontId="17" fillId="26" borderId="7" xfId="4" applyNumberFormat="1" applyFont="1" applyFill="1" applyBorder="1" applyAlignment="1" applyProtection="1">
      <alignment horizontal="center" vertical="center"/>
      <protection locked="0"/>
    </xf>
    <xf numFmtId="165" fontId="17" fillId="27" borderId="7" xfId="4" applyNumberFormat="1" applyFont="1" applyFill="1" applyBorder="1" applyAlignment="1">
      <alignment horizontal="center" vertical="center"/>
    </xf>
    <xf numFmtId="166" fontId="17" fillId="12" borderId="7" xfId="4" applyNumberFormat="1" applyFont="1" applyFill="1" applyBorder="1" applyAlignment="1">
      <alignment horizontal="center" vertical="center"/>
    </xf>
    <xf numFmtId="166" fontId="26" fillId="12" borderId="19" xfId="4" applyNumberFormat="1" applyFont="1" applyFill="1" applyBorder="1" applyAlignment="1">
      <alignment horizontal="center" vertical="center"/>
    </xf>
    <xf numFmtId="166" fontId="26" fillId="12" borderId="8" xfId="4" applyNumberFormat="1" applyFont="1" applyFill="1" applyBorder="1" applyAlignment="1">
      <alignment horizontal="center" vertical="center"/>
    </xf>
    <xf numFmtId="166" fontId="17" fillId="28" borderId="9" xfId="4" applyNumberFormat="1" applyFont="1" applyFill="1" applyBorder="1" applyAlignment="1" applyProtection="1">
      <alignment horizontal="center" vertical="center"/>
      <protection locked="0"/>
    </xf>
    <xf numFmtId="166" fontId="17" fillId="28" borderId="7" xfId="4" applyNumberFormat="1" applyFont="1" applyFill="1" applyBorder="1" applyAlignment="1" applyProtection="1">
      <alignment horizontal="center" vertical="center"/>
      <protection locked="0"/>
    </xf>
    <xf numFmtId="9" fontId="17" fillId="12" borderId="7" xfId="5" applyFont="1" applyFill="1" applyBorder="1" applyAlignment="1" applyProtection="1">
      <alignment horizontal="center" vertical="center"/>
    </xf>
    <xf numFmtId="166" fontId="27" fillId="29" borderId="9" xfId="0" applyNumberFormat="1" applyFont="1" applyFill="1" applyBorder="1" applyAlignment="1" applyProtection="1">
      <alignment horizontal="center" vertical="center"/>
      <protection locked="0"/>
    </xf>
    <xf numFmtId="166" fontId="27" fillId="29" borderId="7" xfId="0" applyNumberFormat="1" applyFont="1" applyFill="1" applyBorder="1" applyAlignment="1" applyProtection="1">
      <alignment horizontal="center" vertical="center"/>
      <protection locked="0"/>
    </xf>
    <xf numFmtId="165" fontId="17" fillId="12" borderId="9" xfId="4" applyNumberFormat="1" applyFont="1" applyFill="1" applyBorder="1" applyAlignment="1">
      <alignment horizontal="center" vertical="center"/>
    </xf>
    <xf numFmtId="166" fontId="17" fillId="12" borderId="10" xfId="4" applyNumberFormat="1" applyFont="1" applyFill="1" applyBorder="1" applyAlignment="1">
      <alignment horizontal="center" vertical="center"/>
    </xf>
    <xf numFmtId="165" fontId="17" fillId="12" borderId="50" xfId="4" applyNumberFormat="1" applyFont="1" applyFill="1" applyBorder="1" applyAlignment="1">
      <alignment horizontal="center" vertical="center"/>
    </xf>
    <xf numFmtId="166" fontId="17" fillId="19" borderId="19" xfId="4" applyNumberFormat="1" applyFont="1" applyFill="1" applyBorder="1" applyAlignment="1" applyProtection="1">
      <alignment horizontal="center" vertical="center"/>
      <protection locked="0"/>
    </xf>
    <xf numFmtId="166" fontId="17" fillId="19" borderId="7" xfId="4" applyNumberFormat="1" applyFont="1" applyFill="1" applyBorder="1" applyAlignment="1" applyProtection="1">
      <alignment horizontal="center" vertical="center"/>
      <protection locked="0"/>
    </xf>
    <xf numFmtId="166" fontId="17" fillId="19" borderId="9" xfId="4" applyNumberFormat="1" applyFont="1" applyFill="1" applyBorder="1" applyAlignment="1" applyProtection="1">
      <alignment horizontal="center" vertical="center"/>
      <protection locked="0"/>
    </xf>
    <xf numFmtId="166" fontId="27" fillId="23" borderId="9" xfId="0" applyNumberFormat="1" applyFont="1" applyFill="1" applyBorder="1" applyAlignment="1" applyProtection="1">
      <alignment horizontal="center" vertical="center"/>
      <protection locked="0"/>
    </xf>
    <xf numFmtId="166" fontId="27" fillId="23" borderId="7" xfId="0" applyNumberFormat="1" applyFont="1" applyFill="1" applyBorder="1" applyAlignment="1" applyProtection="1">
      <alignment horizontal="center" vertical="center"/>
      <protection locked="0"/>
    </xf>
    <xf numFmtId="166" fontId="17" fillId="26" borderId="9" xfId="4" applyNumberFormat="1" applyFont="1" applyFill="1" applyBorder="1" applyAlignment="1" applyProtection="1">
      <alignment horizontal="center" vertical="center"/>
      <protection locked="0"/>
    </xf>
    <xf numFmtId="166" fontId="17" fillId="26" borderId="24" xfId="4" applyNumberFormat="1" applyFont="1" applyFill="1" applyBorder="1" applyAlignment="1" applyProtection="1">
      <alignment horizontal="center" vertical="center"/>
      <protection locked="0"/>
    </xf>
    <xf numFmtId="166" fontId="27" fillId="29" borderId="24" xfId="0" applyNumberFormat="1" applyFont="1" applyFill="1" applyBorder="1" applyAlignment="1" applyProtection="1">
      <alignment horizontal="center" vertical="center"/>
      <protection locked="0"/>
    </xf>
    <xf numFmtId="166" fontId="17" fillId="19" borderId="19" xfId="4" quotePrefix="1" applyNumberFormat="1" applyFont="1" applyFill="1" applyBorder="1" applyAlignment="1" applyProtection="1">
      <alignment horizontal="center" vertical="center"/>
      <protection locked="0"/>
    </xf>
    <xf numFmtId="166" fontId="17" fillId="19" borderId="7" xfId="4" quotePrefix="1" applyNumberFormat="1" applyFont="1" applyFill="1" applyBorder="1" applyAlignment="1" applyProtection="1">
      <alignment horizontal="center" vertical="center"/>
      <protection locked="0"/>
    </xf>
    <xf numFmtId="166" fontId="17" fillId="26" borderId="19" xfId="4" quotePrefix="1" applyNumberFormat="1" applyFont="1" applyFill="1" applyBorder="1" applyAlignment="1" applyProtection="1">
      <alignment horizontal="center" vertical="center"/>
      <protection locked="0"/>
    </xf>
    <xf numFmtId="166" fontId="17" fillId="26" borderId="9" xfId="4" quotePrefix="1" applyNumberFormat="1" applyFont="1" applyFill="1" applyBorder="1" applyAlignment="1" applyProtection="1">
      <alignment horizontal="center" vertical="center"/>
      <protection locked="0"/>
    </xf>
    <xf numFmtId="0" fontId="17" fillId="17" borderId="52" xfId="4" applyFont="1" applyFill="1" applyBorder="1" applyAlignment="1">
      <alignment horizontal="center" vertical="center"/>
    </xf>
    <xf numFmtId="0" fontId="17" fillId="17" borderId="53" xfId="4" applyFont="1" applyFill="1" applyBorder="1" applyAlignment="1">
      <alignment horizontal="center" vertical="center"/>
    </xf>
    <xf numFmtId="0" fontId="9" fillId="0" borderId="12" xfId="4" applyFont="1" applyBorder="1" applyAlignment="1">
      <alignment horizontal="center" vertical="center"/>
    </xf>
    <xf numFmtId="2" fontId="26" fillId="18" borderId="15" xfId="4" applyNumberFormat="1" applyFont="1" applyFill="1" applyBorder="1" applyAlignment="1">
      <alignment horizontal="center" vertical="center"/>
    </xf>
    <xf numFmtId="166" fontId="17" fillId="19" borderId="14" xfId="7" applyNumberFormat="1" applyFont="1" applyFill="1" applyBorder="1" applyAlignment="1" applyProtection="1">
      <alignment horizontal="center" vertical="center"/>
      <protection locked="0"/>
    </xf>
    <xf numFmtId="166" fontId="17" fillId="19" borderId="12" xfId="7" applyNumberFormat="1" applyFont="1" applyFill="1" applyBorder="1" applyAlignment="1" applyProtection="1">
      <alignment horizontal="center" vertical="center"/>
      <protection locked="0"/>
    </xf>
    <xf numFmtId="165" fontId="17" fillId="20" borderId="12" xfId="6" applyNumberFormat="1" applyFont="1" applyFill="1" applyBorder="1" applyAlignment="1">
      <alignment horizontal="center" vertical="center"/>
    </xf>
    <xf numFmtId="166" fontId="17" fillId="21" borderId="12" xfId="6" applyNumberFormat="1" applyFont="1" applyFill="1" applyBorder="1" applyAlignment="1">
      <alignment horizontal="center" vertical="center"/>
    </xf>
    <xf numFmtId="167" fontId="17" fillId="21" borderId="12" xfId="7" applyNumberFormat="1" applyFont="1" applyFill="1" applyBorder="1" applyAlignment="1">
      <alignment horizontal="center" vertical="center"/>
    </xf>
    <xf numFmtId="172" fontId="17" fillId="21" borderId="54" xfId="4" applyNumberFormat="1" applyFont="1" applyFill="1" applyBorder="1" applyAlignment="1">
      <alignment horizontal="center" vertical="center"/>
    </xf>
    <xf numFmtId="166" fontId="26" fillId="12" borderId="54" xfId="6" applyNumberFormat="1" applyFont="1" applyFill="1" applyBorder="1" applyAlignment="1">
      <alignment horizontal="center" vertical="center"/>
    </xf>
    <xf numFmtId="166" fontId="26" fillId="12" borderId="12" xfId="6" applyNumberFormat="1" applyFont="1" applyFill="1" applyBorder="1" applyAlignment="1">
      <alignment horizontal="center" vertical="center"/>
    </xf>
    <xf numFmtId="2" fontId="26" fillId="18" borderId="15" xfId="6" applyNumberFormat="1" applyFont="1" applyFill="1" applyBorder="1" applyAlignment="1">
      <alignment horizontal="center" vertical="center"/>
    </xf>
    <xf numFmtId="166" fontId="17" fillId="19" borderId="54" xfId="4" applyNumberFormat="1" applyFont="1" applyFill="1" applyBorder="1" applyAlignment="1" applyProtection="1">
      <alignment horizontal="center" vertical="center"/>
      <protection locked="0"/>
    </xf>
    <xf numFmtId="166" fontId="17" fillId="19" borderId="12" xfId="4" applyNumberFormat="1" applyFont="1" applyFill="1" applyBorder="1" applyAlignment="1" applyProtection="1">
      <alignment horizontal="center" vertical="center"/>
      <protection locked="0"/>
    </xf>
    <xf numFmtId="165" fontId="17" fillId="20" borderId="12" xfId="4" applyNumberFormat="1" applyFont="1" applyFill="1" applyBorder="1" applyAlignment="1">
      <alignment horizontal="center" vertical="center"/>
    </xf>
    <xf numFmtId="166" fontId="17" fillId="21" borderId="12" xfId="4" applyNumberFormat="1" applyFont="1" applyFill="1" applyBorder="1" applyAlignment="1">
      <alignment horizontal="center" vertical="center"/>
    </xf>
    <xf numFmtId="166" fontId="26" fillId="12" borderId="54" xfId="4" applyNumberFormat="1" applyFont="1" applyFill="1" applyBorder="1" applyAlignment="1">
      <alignment horizontal="center" vertical="center"/>
    </xf>
    <xf numFmtId="166" fontId="26" fillId="12" borderId="12" xfId="4" applyNumberFormat="1" applyFont="1" applyFill="1" applyBorder="1" applyAlignment="1">
      <alignment horizontal="center" vertical="center"/>
    </xf>
    <xf numFmtId="166" fontId="26" fillId="12" borderId="13" xfId="4" applyNumberFormat="1" applyFont="1" applyFill="1" applyBorder="1" applyAlignment="1">
      <alignment horizontal="center" vertical="center"/>
    </xf>
    <xf numFmtId="166" fontId="17" fillId="22" borderId="14" xfId="4" applyNumberFormat="1" applyFont="1" applyFill="1" applyBorder="1" applyAlignment="1" applyProtection="1">
      <alignment horizontal="center" vertical="center"/>
      <protection locked="0"/>
    </xf>
    <xf numFmtId="166" fontId="17" fillId="22" borderId="12" xfId="4" applyNumberFormat="1" applyFont="1" applyFill="1" applyBorder="1" applyAlignment="1" applyProtection="1">
      <alignment horizontal="center" vertical="center"/>
      <protection locked="0"/>
    </xf>
    <xf numFmtId="9" fontId="17" fillId="21" borderId="12" xfId="5" applyFont="1" applyFill="1" applyBorder="1" applyAlignment="1" applyProtection="1">
      <alignment horizontal="center" vertical="center"/>
    </xf>
    <xf numFmtId="165" fontId="17" fillId="21" borderId="14" xfId="4" applyNumberFormat="1" applyFont="1" applyFill="1" applyBorder="1" applyAlignment="1">
      <alignment horizontal="center" vertical="center"/>
    </xf>
    <xf numFmtId="166" fontId="17" fillId="21" borderId="15" xfId="4" applyNumberFormat="1" applyFont="1" applyFill="1" applyBorder="1" applyAlignment="1">
      <alignment horizontal="center" vertical="center"/>
    </xf>
    <xf numFmtId="165" fontId="17" fillId="21" borderId="52" xfId="4" applyNumberFormat="1" applyFont="1" applyFill="1" applyBorder="1" applyAlignment="1">
      <alignment horizontal="center" vertical="center"/>
    </xf>
    <xf numFmtId="0" fontId="15" fillId="12" borderId="24" xfId="4" applyFont="1" applyFill="1" applyBorder="1" applyAlignment="1">
      <alignment horizontal="right" vertical="center"/>
    </xf>
    <xf numFmtId="166" fontId="4" fillId="0" borderId="24" xfId="1" applyNumberFormat="1" applyBorder="1" applyAlignment="1">
      <alignment horizontal="center" vertical="center"/>
    </xf>
    <xf numFmtId="0" fontId="1" fillId="0" borderId="0" xfId="7"/>
    <xf numFmtId="0" fontId="10" fillId="12" borderId="24" xfId="6" applyFont="1" applyFill="1" applyBorder="1" applyAlignment="1">
      <alignment horizontal="right" vertical="center"/>
    </xf>
    <xf numFmtId="1" fontId="4" fillId="30" borderId="24" xfId="8" applyNumberFormat="1" applyFill="1" applyBorder="1" applyAlignment="1">
      <alignment horizontal="center" vertical="center"/>
    </xf>
    <xf numFmtId="0" fontId="15" fillId="12" borderId="24" xfId="6" applyFont="1" applyFill="1" applyBorder="1" applyAlignment="1">
      <alignment horizontal="center" vertical="center"/>
    </xf>
    <xf numFmtId="165" fontId="4" fillId="0" borderId="24" xfId="8" applyNumberFormat="1" applyBorder="1" applyAlignment="1">
      <alignment horizontal="center" vertical="center"/>
    </xf>
    <xf numFmtId="166" fontId="4" fillId="0" borderId="24" xfId="8" applyNumberFormat="1" applyBorder="1" applyAlignment="1">
      <alignment horizontal="center" vertical="center"/>
    </xf>
    <xf numFmtId="166" fontId="4" fillId="12" borderId="24" xfId="8" applyNumberFormat="1" applyFill="1" applyBorder="1" applyAlignment="1">
      <alignment horizontal="center" vertical="center"/>
    </xf>
    <xf numFmtId="0" fontId="10" fillId="12" borderId="24" xfId="4" applyFont="1" applyFill="1" applyBorder="1" applyAlignment="1">
      <alignment horizontal="right" vertical="center"/>
    </xf>
    <xf numFmtId="1" fontId="4" fillId="30" borderId="24" xfId="1" applyNumberFormat="1" applyFill="1" applyBorder="1" applyAlignment="1">
      <alignment horizontal="center" vertical="center"/>
    </xf>
    <xf numFmtId="0" fontId="15" fillId="12" borderId="24" xfId="4" applyFont="1" applyFill="1" applyBorder="1" applyAlignment="1">
      <alignment horizontal="center" vertical="center"/>
    </xf>
    <xf numFmtId="165" fontId="4" fillId="0" borderId="24" xfId="1" applyNumberFormat="1" applyBorder="1" applyAlignment="1">
      <alignment horizontal="center" vertical="center"/>
    </xf>
    <xf numFmtId="166" fontId="4" fillId="12" borderId="24" xfId="1" applyNumberFormat="1" applyFill="1" applyBorder="1" applyAlignment="1">
      <alignment horizontal="center" vertical="center"/>
    </xf>
    <xf numFmtId="2" fontId="4" fillId="0" borderId="24" xfId="5" applyNumberFormat="1" applyFont="1" applyBorder="1" applyAlignment="1">
      <alignment horizontal="center" vertical="center"/>
    </xf>
    <xf numFmtId="9" fontId="4" fillId="0" borderId="24" xfId="5" applyFont="1" applyBorder="1" applyAlignment="1">
      <alignment horizontal="center" vertical="center"/>
    </xf>
    <xf numFmtId="0" fontId="28" fillId="0" borderId="8" xfId="4" applyFont="1" applyBorder="1" applyAlignment="1">
      <alignment horizontal="right" vertical="center"/>
    </xf>
    <xf numFmtId="0" fontId="9" fillId="0" borderId="7" xfId="4" applyFont="1" applyBorder="1" applyAlignment="1">
      <alignment horizontal="center" vertical="center"/>
    </xf>
    <xf numFmtId="0" fontId="28" fillId="0" borderId="0" xfId="4" applyFont="1" applyBorder="1"/>
    <xf numFmtId="0" fontId="29" fillId="12" borderId="8" xfId="4" applyFont="1" applyFill="1" applyBorder="1" applyAlignment="1">
      <alignment horizontal="right" vertical="center"/>
    </xf>
    <xf numFmtId="166" fontId="4" fillId="30" borderId="7" xfId="1" applyNumberFormat="1" applyFill="1" applyBorder="1" applyAlignment="1">
      <alignment horizontal="center" vertical="center"/>
    </xf>
    <xf numFmtId="0" fontId="11" fillId="12" borderId="7" xfId="6" applyFont="1" applyFill="1" applyBorder="1" applyAlignment="1">
      <alignment horizontal="right" vertical="center"/>
    </xf>
    <xf numFmtId="1" fontId="4" fillId="31" borderId="7" xfId="8" applyNumberFormat="1" applyFill="1" applyBorder="1" applyAlignment="1">
      <alignment horizontal="center" vertical="center"/>
    </xf>
    <xf numFmtId="0" fontId="29" fillId="12" borderId="7" xfId="6" applyFont="1" applyFill="1" applyBorder="1" applyAlignment="1">
      <alignment horizontal="center" vertical="center"/>
    </xf>
    <xf numFmtId="165" fontId="4" fillId="30" borderId="7" xfId="8" applyNumberFormat="1" applyFill="1" applyBorder="1" applyAlignment="1">
      <alignment horizontal="center" vertical="center"/>
    </xf>
    <xf numFmtId="166" fontId="4" fillId="30" borderId="7" xfId="8" applyNumberFormat="1" applyFill="1" applyBorder="1" applyAlignment="1">
      <alignment horizontal="center" vertical="center"/>
    </xf>
    <xf numFmtId="166" fontId="4" fillId="12" borderId="7" xfId="8" applyNumberFormat="1" applyFill="1" applyBorder="1" applyAlignment="1">
      <alignment horizontal="center" vertical="center"/>
    </xf>
    <xf numFmtId="0" fontId="11" fillId="12" borderId="7" xfId="4" applyFont="1" applyFill="1" applyBorder="1" applyAlignment="1">
      <alignment horizontal="right" vertical="center"/>
    </xf>
    <xf numFmtId="1" fontId="4" fillId="31" borderId="7" xfId="1" applyNumberFormat="1" applyFill="1" applyBorder="1" applyAlignment="1">
      <alignment horizontal="center" vertical="center"/>
    </xf>
    <xf numFmtId="0" fontId="29" fillId="12" borderId="7" xfId="4" applyFont="1" applyFill="1" applyBorder="1" applyAlignment="1">
      <alignment horizontal="center" vertical="center"/>
    </xf>
    <xf numFmtId="165" fontId="4" fillId="30" borderId="7" xfId="1" applyNumberFormat="1" applyFill="1" applyBorder="1" applyAlignment="1">
      <alignment horizontal="center" vertical="center"/>
    </xf>
    <xf numFmtId="166" fontId="4" fillId="12" borderId="7" xfId="1" applyNumberFormat="1" applyFill="1" applyBorder="1" applyAlignment="1">
      <alignment horizontal="center" vertical="center"/>
    </xf>
    <xf numFmtId="166" fontId="4" fillId="0" borderId="7" xfId="1" applyNumberFormat="1" applyBorder="1" applyAlignment="1">
      <alignment horizontal="center" vertical="center"/>
    </xf>
    <xf numFmtId="2" fontId="4" fillId="30" borderId="7" xfId="5" applyNumberFormat="1" applyFont="1" applyFill="1" applyBorder="1" applyAlignment="1">
      <alignment horizontal="center" vertical="center"/>
    </xf>
    <xf numFmtId="9" fontId="4" fillId="30" borderId="7" xfId="5" applyFont="1" applyFill="1" applyBorder="1" applyAlignment="1">
      <alignment horizontal="center" vertical="center"/>
    </xf>
    <xf numFmtId="0" fontId="30" fillId="12" borderId="7" xfId="4" applyFont="1" applyFill="1" applyBorder="1" applyAlignment="1">
      <alignment horizontal="right" vertical="center"/>
    </xf>
    <xf numFmtId="166" fontId="4" fillId="31" borderId="7" xfId="1" applyNumberFormat="1" applyFill="1" applyBorder="1" applyAlignment="1">
      <alignment horizontal="center" vertical="center"/>
    </xf>
    <xf numFmtId="0" fontId="1" fillId="0" borderId="0" xfId="6"/>
    <xf numFmtId="0" fontId="30" fillId="12" borderId="7" xfId="6" applyFont="1" applyFill="1" applyBorder="1" applyAlignment="1">
      <alignment horizontal="center" vertical="center"/>
    </xf>
    <xf numFmtId="165" fontId="4" fillId="31" borderId="7" xfId="8" applyNumberFormat="1" applyFill="1" applyBorder="1" applyAlignment="1">
      <alignment horizontal="center" vertical="center"/>
    </xf>
    <xf numFmtId="166" fontId="4" fillId="31" borderId="7" xfId="8" applyNumberFormat="1" applyFill="1" applyBorder="1" applyAlignment="1">
      <alignment horizontal="center" vertical="center"/>
    </xf>
    <xf numFmtId="0" fontId="30" fillId="12" borderId="7" xfId="4" applyFont="1" applyFill="1" applyBorder="1" applyAlignment="1">
      <alignment horizontal="center" vertical="center"/>
    </xf>
    <xf numFmtId="165" fontId="4" fillId="31" borderId="7" xfId="1" applyNumberFormat="1" applyFill="1" applyBorder="1" applyAlignment="1">
      <alignment horizontal="center" vertical="center"/>
    </xf>
    <xf numFmtId="2" fontId="4" fillId="31" borderId="7" xfId="5" applyNumberFormat="1" applyFont="1" applyFill="1" applyBorder="1" applyAlignment="1">
      <alignment horizontal="center" vertical="center"/>
    </xf>
    <xf numFmtId="0" fontId="1" fillId="12" borderId="0" xfId="4" applyFill="1"/>
    <xf numFmtId="9" fontId="4" fillId="31" borderId="7" xfId="5" applyFont="1" applyFill="1" applyBorder="1" applyAlignment="1">
      <alignment horizontal="center" vertical="center"/>
    </xf>
    <xf numFmtId="0" fontId="29" fillId="12" borderId="7" xfId="4" applyFont="1" applyFill="1" applyBorder="1" applyAlignment="1">
      <alignment horizontal="right" vertical="center"/>
    </xf>
    <xf numFmtId="0" fontId="1" fillId="0" borderId="55" xfId="3" applyBorder="1"/>
    <xf numFmtId="0" fontId="1" fillId="0" borderId="2" xfId="3" applyBorder="1"/>
    <xf numFmtId="0" fontId="1" fillId="0" borderId="0" xfId="3" applyAlignment="1">
      <alignment horizontal="right" vertical="center"/>
    </xf>
    <xf numFmtId="0" fontId="1" fillId="0" borderId="0" xfId="4" applyAlignment="1">
      <alignment horizontal="right" vertical="center"/>
    </xf>
    <xf numFmtId="0" fontId="1" fillId="0" borderId="0" xfId="4" quotePrefix="1"/>
    <xf numFmtId="0" fontId="24" fillId="0" borderId="0" xfId="4" applyFont="1" applyAlignment="1">
      <alignment wrapText="1"/>
    </xf>
    <xf numFmtId="0" fontId="13" fillId="0" borderId="58" xfId="4" applyFont="1" applyBorder="1" applyAlignment="1">
      <alignment horizontal="center" vertical="center" wrapText="1"/>
    </xf>
    <xf numFmtId="0" fontId="13" fillId="0" borderId="59" xfId="4" applyFont="1" applyBorder="1" applyAlignment="1">
      <alignment horizontal="center" vertical="center" wrapText="1"/>
    </xf>
    <xf numFmtId="0" fontId="13" fillId="14" borderId="9" xfId="4" applyFont="1" applyFill="1" applyBorder="1" applyAlignment="1">
      <alignment horizontal="center" vertical="center"/>
    </xf>
    <xf numFmtId="0" fontId="13" fillId="14" borderId="19" xfId="4" applyFont="1" applyFill="1" applyBorder="1" applyAlignment="1">
      <alignment horizontal="center" vertical="center"/>
    </xf>
    <xf numFmtId="0" fontId="24" fillId="0" borderId="0" xfId="4" applyFont="1" applyAlignment="1">
      <alignment horizontal="right" vertical="center" wrapText="1"/>
    </xf>
    <xf numFmtId="0" fontId="13" fillId="14" borderId="0" xfId="4" applyFont="1" applyFill="1" applyBorder="1" applyAlignment="1">
      <alignment horizontal="center" vertical="center" wrapText="1"/>
    </xf>
    <xf numFmtId="0" fontId="13" fillId="27" borderId="0" xfId="4" applyFont="1" applyFill="1" applyBorder="1" applyAlignment="1">
      <alignment horizontal="center" vertical="center" wrapText="1"/>
    </xf>
    <xf numFmtId="0" fontId="13" fillId="27" borderId="0" xfId="4" applyFont="1" applyFill="1" applyBorder="1" applyAlignment="1">
      <alignment horizontal="center" vertical="center"/>
    </xf>
    <xf numFmtId="0" fontId="13" fillId="14" borderId="60" xfId="4" applyFont="1" applyFill="1" applyBorder="1" applyAlignment="1">
      <alignment horizontal="center" vertical="center"/>
    </xf>
    <xf numFmtId="0" fontId="13" fillId="14" borderId="46" xfId="4" applyFont="1" applyFill="1" applyBorder="1" applyAlignment="1">
      <alignment horizontal="center" vertical="center"/>
    </xf>
    <xf numFmtId="0" fontId="13" fillId="14" borderId="61" xfId="4" applyFont="1" applyFill="1" applyBorder="1" applyAlignment="1">
      <alignment horizontal="center" vertical="center"/>
    </xf>
    <xf numFmtId="0" fontId="13" fillId="14" borderId="62" xfId="4" applyFont="1" applyFill="1" applyBorder="1" applyAlignment="1">
      <alignment horizontal="center" vertical="center"/>
    </xf>
    <xf numFmtId="0" fontId="17" fillId="27" borderId="8" xfId="4" applyFont="1" applyFill="1" applyBorder="1" applyAlignment="1">
      <alignment horizontal="center" vertical="center"/>
    </xf>
    <xf numFmtId="0" fontId="17" fillId="27" borderId="18" xfId="4" applyFont="1" applyFill="1" applyBorder="1" applyAlignment="1">
      <alignment horizontal="center" vertical="center"/>
    </xf>
    <xf numFmtId="166" fontId="17" fillId="14" borderId="9" xfId="4" applyNumberFormat="1" applyFont="1" applyFill="1" applyBorder="1" applyAlignment="1">
      <alignment horizontal="center" vertical="center"/>
    </xf>
    <xf numFmtId="167" fontId="17" fillId="14" borderId="9" xfId="4" applyNumberFormat="1" applyFont="1" applyFill="1" applyBorder="1" applyAlignment="1">
      <alignment horizontal="center" vertical="center"/>
    </xf>
    <xf numFmtId="0" fontId="1" fillId="12" borderId="0" xfId="4" applyFill="1" applyAlignment="1">
      <alignment horizontal="center" vertical="center"/>
    </xf>
    <xf numFmtId="0" fontId="1" fillId="32" borderId="6" xfId="4" applyFill="1" applyBorder="1" applyAlignment="1">
      <alignment horizontal="center" vertical="center"/>
    </xf>
    <xf numFmtId="165" fontId="1" fillId="32" borderId="25" xfId="4" applyNumberFormat="1" applyFill="1" applyBorder="1" applyAlignment="1">
      <alignment horizontal="center" vertical="center"/>
    </xf>
    <xf numFmtId="167" fontId="1" fillId="32" borderId="10" xfId="4" applyNumberFormat="1" applyFill="1" applyBorder="1" applyAlignment="1">
      <alignment horizontal="center" vertical="center"/>
    </xf>
    <xf numFmtId="0" fontId="1" fillId="32" borderId="63" xfId="4" applyFill="1" applyBorder="1" applyAlignment="1">
      <alignment horizontal="center" vertical="center"/>
    </xf>
    <xf numFmtId="165" fontId="1" fillId="32" borderId="31" xfId="4" applyNumberFormat="1" applyFill="1" applyBorder="1" applyAlignment="1">
      <alignment horizontal="center" vertical="center"/>
    </xf>
    <xf numFmtId="0" fontId="1" fillId="0" borderId="11" xfId="4" applyBorder="1" applyAlignment="1">
      <alignment horizontal="center" vertical="center"/>
    </xf>
    <xf numFmtId="165" fontId="1" fillId="0" borderId="19" xfId="4" applyNumberFormat="1" applyBorder="1" applyAlignment="1">
      <alignment horizontal="center" vertical="center"/>
    </xf>
    <xf numFmtId="167" fontId="1" fillId="0" borderId="10" xfId="4" applyNumberFormat="1" applyBorder="1" applyAlignment="1">
      <alignment horizontal="center" vertical="center"/>
    </xf>
    <xf numFmtId="0" fontId="1" fillId="32" borderId="11" xfId="4" applyFill="1" applyBorder="1" applyAlignment="1">
      <alignment horizontal="center" vertical="center"/>
    </xf>
    <xf numFmtId="165" fontId="1" fillId="32" borderId="19" xfId="4" applyNumberFormat="1" applyFill="1" applyBorder="1" applyAlignment="1">
      <alignment horizontal="center" vertical="center"/>
    </xf>
    <xf numFmtId="165" fontId="1" fillId="0" borderId="18" xfId="4" applyNumberFormat="1" applyBorder="1" applyAlignment="1">
      <alignment horizontal="center" vertical="center"/>
    </xf>
    <xf numFmtId="0" fontId="1" fillId="32" borderId="16" xfId="4" applyFill="1" applyBorder="1" applyAlignment="1">
      <alignment horizontal="center" vertical="center"/>
    </xf>
    <xf numFmtId="165" fontId="1" fillId="32" borderId="14" xfId="4" applyNumberFormat="1" applyFill="1" applyBorder="1" applyAlignment="1">
      <alignment horizontal="center" vertical="center"/>
    </xf>
    <xf numFmtId="167" fontId="1" fillId="32" borderId="15" xfId="4" applyNumberFormat="1" applyFill="1" applyBorder="1" applyAlignment="1">
      <alignment horizontal="center" vertical="center"/>
    </xf>
    <xf numFmtId="165" fontId="1" fillId="32" borderId="54" xfId="4" applyNumberFormat="1" applyFill="1" applyBorder="1" applyAlignment="1">
      <alignment horizontal="center" vertical="center"/>
    </xf>
    <xf numFmtId="0" fontId="1" fillId="0" borderId="0" xfId="3" applyAlignment="1">
      <alignment horizontal="center" vertical="center"/>
    </xf>
    <xf numFmtId="0" fontId="1" fillId="12" borderId="0" xfId="3" applyFill="1" applyAlignment="1">
      <alignment horizontal="center" vertical="center"/>
    </xf>
    <xf numFmtId="2" fontId="1" fillId="0" borderId="0" xfId="4" applyNumberFormat="1"/>
    <xf numFmtId="0" fontId="13" fillId="14" borderId="7" xfId="4" applyFont="1" applyFill="1" applyBorder="1" applyAlignment="1">
      <alignment horizontal="center" vertical="center"/>
    </xf>
    <xf numFmtId="0" fontId="13" fillId="14" borderId="0" xfId="4" applyFont="1" applyFill="1" applyBorder="1" applyAlignment="1">
      <alignment horizontal="center" vertical="center"/>
    </xf>
    <xf numFmtId="2" fontId="13" fillId="14" borderId="0" xfId="4" applyNumberFormat="1" applyFont="1" applyFill="1" applyBorder="1" applyAlignment="1">
      <alignment horizontal="center" vertical="center" wrapText="1"/>
    </xf>
    <xf numFmtId="0" fontId="13" fillId="14" borderId="45" xfId="4" applyFont="1" applyFill="1" applyBorder="1" applyAlignment="1">
      <alignment horizontal="center" vertical="center"/>
    </xf>
    <xf numFmtId="0" fontId="13" fillId="34" borderId="65" xfId="4" applyFont="1" applyFill="1" applyBorder="1" applyAlignment="1">
      <alignment horizontal="center" vertical="center"/>
    </xf>
    <xf numFmtId="0" fontId="13" fillId="14" borderId="66" xfId="4" applyFont="1" applyFill="1" applyBorder="1" applyAlignment="1">
      <alignment horizontal="center" vertical="center"/>
    </xf>
    <xf numFmtId="2" fontId="1" fillId="0" borderId="0" xfId="4" applyNumberFormat="1" applyAlignment="1">
      <alignment horizontal="center" vertical="center"/>
    </xf>
    <xf numFmtId="165" fontId="1" fillId="32" borderId="32" xfId="4" applyNumberFormat="1" applyFill="1" applyBorder="1" applyAlignment="1">
      <alignment horizontal="center" vertical="center"/>
    </xf>
    <xf numFmtId="0" fontId="1" fillId="35" borderId="7" xfId="4" applyFill="1" applyBorder="1" applyAlignment="1">
      <alignment horizontal="center" vertical="center"/>
    </xf>
    <xf numFmtId="167" fontId="1" fillId="32" borderId="17" xfId="4" applyNumberFormat="1" applyFill="1" applyBorder="1" applyAlignment="1">
      <alignment horizontal="center" vertical="center"/>
    </xf>
    <xf numFmtId="165" fontId="1" fillId="32" borderId="4" xfId="4" applyNumberFormat="1" applyFill="1" applyBorder="1" applyAlignment="1">
      <alignment horizontal="center" vertical="center"/>
    </xf>
    <xf numFmtId="167" fontId="1" fillId="32" borderId="49" xfId="4" applyNumberFormat="1" applyFill="1" applyBorder="1" applyAlignment="1">
      <alignment horizontal="center" vertical="center"/>
    </xf>
    <xf numFmtId="165" fontId="1" fillId="0" borderId="9" xfId="4" applyNumberFormat="1" applyBorder="1" applyAlignment="1">
      <alignment horizontal="center" vertical="center"/>
    </xf>
    <xf numFmtId="167" fontId="1" fillId="33" borderId="10" xfId="4" applyNumberFormat="1" applyFill="1" applyBorder="1" applyAlignment="1">
      <alignment horizontal="center" vertical="center"/>
    </xf>
    <xf numFmtId="167" fontId="1" fillId="0" borderId="8" xfId="4" applyNumberFormat="1" applyBorder="1" applyAlignment="1">
      <alignment horizontal="center" vertical="center"/>
    </xf>
    <xf numFmtId="165" fontId="1" fillId="32" borderId="9" xfId="4" applyNumberFormat="1" applyFill="1" applyBorder="1" applyAlignment="1">
      <alignment horizontal="center" vertical="center"/>
    </xf>
    <xf numFmtId="167" fontId="1" fillId="32" borderId="8" xfId="4" applyNumberFormat="1" applyFill="1" applyBorder="1" applyAlignment="1">
      <alignment horizontal="center" vertical="center"/>
    </xf>
    <xf numFmtId="0" fontId="1" fillId="35" borderId="12" xfId="4" applyFill="1" applyBorder="1" applyAlignment="1">
      <alignment horizontal="center" vertical="center"/>
    </xf>
    <xf numFmtId="0" fontId="1" fillId="13" borderId="16" xfId="4" applyFill="1" applyBorder="1" applyAlignment="1">
      <alignment horizontal="center" vertical="center"/>
    </xf>
    <xf numFmtId="166" fontId="1" fillId="0" borderId="0" xfId="3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2" fillId="16" borderId="7" xfId="0" applyFont="1" applyFill="1" applyBorder="1" applyAlignment="1">
      <alignment horizontal="right" vertical="center"/>
    </xf>
    <xf numFmtId="0" fontId="31" fillId="22" borderId="7" xfId="0" applyFont="1" applyFill="1" applyBorder="1" applyAlignment="1" applyProtection="1">
      <alignment horizontal="center" vertical="center"/>
      <protection locked="0"/>
    </xf>
    <xf numFmtId="0" fontId="33" fillId="0" borderId="67" xfId="0" applyFont="1" applyBorder="1" applyAlignment="1">
      <alignment horizontal="center" vertical="center"/>
    </xf>
    <xf numFmtId="0" fontId="33" fillId="0" borderId="65" xfId="0" applyFont="1" applyBorder="1" applyAlignment="1">
      <alignment horizontal="center" vertical="center"/>
    </xf>
    <xf numFmtId="0" fontId="33" fillId="0" borderId="6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173" fontId="24" fillId="0" borderId="23" xfId="0" applyNumberFormat="1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3" fillId="0" borderId="6" xfId="0" applyFont="1" applyBorder="1"/>
    <xf numFmtId="0" fontId="33" fillId="0" borderId="56" xfId="0" applyFont="1" applyBorder="1" applyAlignment="1">
      <alignment vertical="center"/>
    </xf>
    <xf numFmtId="0" fontId="33" fillId="0" borderId="65" xfId="0" quotePrefix="1" applyFont="1" applyBorder="1" applyAlignment="1">
      <alignment horizontal="center" vertical="center"/>
    </xf>
    <xf numFmtId="0" fontId="2" fillId="22" borderId="9" xfId="0" applyFont="1" applyFill="1" applyBorder="1" applyAlignment="1" applyProtection="1">
      <alignment horizontal="center" vertical="center"/>
      <protection locked="0"/>
    </xf>
    <xf numFmtId="0" fontId="34" fillId="36" borderId="7" xfId="0" applyFont="1" applyFill="1" applyBorder="1" applyAlignment="1">
      <alignment horizontal="center" vertical="center"/>
    </xf>
    <xf numFmtId="167" fontId="1" fillId="37" borderId="7" xfId="0" applyNumberFormat="1" applyFont="1" applyFill="1" applyBorder="1" applyAlignment="1">
      <alignment horizontal="center" vertical="center"/>
    </xf>
    <xf numFmtId="0" fontId="0" fillId="0" borderId="7" xfId="0" quotePrefix="1" applyBorder="1" applyAlignment="1">
      <alignment horizontal="center" vertical="center"/>
    </xf>
    <xf numFmtId="0" fontId="2" fillId="22" borderId="7" xfId="0" applyFont="1" applyFill="1" applyBorder="1" applyAlignment="1" applyProtection="1">
      <alignment horizontal="center" vertical="center"/>
      <protection locked="0"/>
    </xf>
    <xf numFmtId="165" fontId="0" fillId="0" borderId="7" xfId="0" applyNumberFormat="1" applyBorder="1" applyAlignment="1">
      <alignment horizontal="center" vertical="center" wrapText="1"/>
    </xf>
    <xf numFmtId="165" fontId="1" fillId="37" borderId="7" xfId="0" applyNumberFormat="1" applyFont="1" applyFill="1" applyBorder="1" applyAlignment="1">
      <alignment horizontal="center" vertical="center"/>
    </xf>
    <xf numFmtId="0" fontId="1" fillId="37" borderId="7" xfId="0" applyFont="1" applyFill="1" applyBorder="1" applyAlignment="1">
      <alignment horizontal="center" vertical="center"/>
    </xf>
    <xf numFmtId="167" fontId="1" fillId="37" borderId="10" xfId="0" applyNumberFormat="1" applyFont="1" applyFill="1" applyBorder="1" applyAlignment="1">
      <alignment horizontal="center" vertical="center"/>
    </xf>
    <xf numFmtId="2" fontId="17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1" fontId="17" fillId="0" borderId="7" xfId="0" applyNumberFormat="1" applyFont="1" applyBorder="1" applyAlignment="1">
      <alignment horizontal="center" vertical="center"/>
    </xf>
    <xf numFmtId="166" fontId="17" fillId="0" borderId="7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vertical="center"/>
    </xf>
    <xf numFmtId="0" fontId="24" fillId="0" borderId="7" xfId="0" applyFont="1" applyBorder="1" applyAlignment="1">
      <alignment horizontal="center" vertical="center"/>
    </xf>
    <xf numFmtId="0" fontId="1" fillId="37" borderId="69" xfId="0" applyFont="1" applyFill="1" applyBorder="1" applyAlignment="1">
      <alignment horizontal="center" vertical="center"/>
    </xf>
    <xf numFmtId="0" fontId="1" fillId="37" borderId="70" xfId="0" applyFont="1" applyFill="1" applyBorder="1" applyAlignment="1">
      <alignment horizontal="center" vertical="center"/>
    </xf>
    <xf numFmtId="167" fontId="1" fillId="37" borderId="70" xfId="0" applyNumberFormat="1" applyFont="1" applyFill="1" applyBorder="1" applyAlignment="1">
      <alignment horizontal="center" vertical="center"/>
    </xf>
    <xf numFmtId="165" fontId="1" fillId="37" borderId="71" xfId="0" applyNumberFormat="1" applyFont="1" applyFill="1" applyBorder="1" applyAlignment="1">
      <alignment horizontal="center" vertical="center"/>
    </xf>
    <xf numFmtId="0" fontId="2" fillId="28" borderId="9" xfId="0" applyFont="1" applyFill="1" applyBorder="1" applyAlignment="1" applyProtection="1">
      <alignment horizontal="center" vertical="center"/>
      <protection locked="0"/>
    </xf>
    <xf numFmtId="0" fontId="34" fillId="0" borderId="7" xfId="0" applyFont="1" applyBorder="1" applyAlignment="1">
      <alignment horizontal="center" vertical="center"/>
    </xf>
    <xf numFmtId="167" fontId="1" fillId="0" borderId="7" xfId="0" applyNumberFormat="1" applyFont="1" applyBorder="1" applyAlignment="1">
      <alignment horizontal="center" vertical="center"/>
    </xf>
    <xf numFmtId="0" fontId="2" fillId="28" borderId="7" xfId="0" applyFont="1" applyFill="1" applyBorder="1" applyAlignment="1" applyProtection="1">
      <alignment horizontal="center" vertical="center"/>
      <protection locked="0"/>
    </xf>
    <xf numFmtId="165" fontId="1" fillId="0" borderId="7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167" fontId="1" fillId="0" borderId="10" xfId="0" applyNumberFormat="1" applyFont="1" applyBorder="1" applyAlignment="1">
      <alignment horizontal="center" vertical="center"/>
    </xf>
    <xf numFmtId="0" fontId="1" fillId="0" borderId="69" xfId="0" applyFont="1" applyBorder="1" applyAlignment="1">
      <alignment horizontal="center" vertical="center"/>
    </xf>
    <xf numFmtId="0" fontId="1" fillId="0" borderId="70" xfId="0" applyFont="1" applyBorder="1" applyAlignment="1">
      <alignment horizontal="center" vertical="center"/>
    </xf>
    <xf numFmtId="167" fontId="1" fillId="0" borderId="70" xfId="0" applyNumberFormat="1" applyFont="1" applyBorder="1" applyAlignment="1">
      <alignment horizontal="center" vertical="center"/>
    </xf>
    <xf numFmtId="165" fontId="1" fillId="0" borderId="71" xfId="0" applyNumberFormat="1" applyFont="1" applyBorder="1" applyAlignment="1">
      <alignment horizontal="center" vertical="center"/>
    </xf>
    <xf numFmtId="0" fontId="2" fillId="28" borderId="14" xfId="0" applyFont="1" applyFill="1" applyBorder="1" applyAlignment="1" applyProtection="1">
      <alignment horizontal="center" vertical="center"/>
      <protection locked="0"/>
    </xf>
    <xf numFmtId="0" fontId="34" fillId="0" borderId="12" xfId="0" applyFont="1" applyBorder="1" applyAlignment="1">
      <alignment horizontal="center" vertical="center"/>
    </xf>
    <xf numFmtId="167" fontId="1" fillId="0" borderId="12" xfId="0" applyNumberFormat="1" applyFont="1" applyBorder="1" applyAlignment="1">
      <alignment horizontal="center" vertical="center"/>
    </xf>
    <xf numFmtId="0" fontId="0" fillId="0" borderId="12" xfId="0" quotePrefix="1" applyBorder="1" applyAlignment="1">
      <alignment horizontal="center" vertical="center"/>
    </xf>
    <xf numFmtId="0" fontId="2" fillId="28" borderId="12" xfId="0" applyFont="1" applyFill="1" applyBorder="1" applyAlignment="1" applyProtection="1">
      <alignment horizontal="center" vertical="center"/>
      <protection locked="0"/>
    </xf>
    <xf numFmtId="165" fontId="0" fillId="0" borderId="12" xfId="0" applyNumberFormat="1" applyBorder="1" applyAlignment="1">
      <alignment horizontal="center" vertical="center" wrapText="1"/>
    </xf>
    <xf numFmtId="165" fontId="1" fillId="0" borderId="12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167" fontId="1" fillId="0" borderId="15" xfId="0" applyNumberFormat="1" applyFont="1" applyBorder="1" applyAlignment="1">
      <alignment horizontal="center" vertical="center"/>
    </xf>
    <xf numFmtId="0" fontId="1" fillId="0" borderId="72" xfId="0" applyFont="1" applyBorder="1" applyAlignment="1">
      <alignment horizontal="center" vertical="center"/>
    </xf>
    <xf numFmtId="0" fontId="1" fillId="0" borderId="73" xfId="0" applyFont="1" applyBorder="1" applyAlignment="1">
      <alignment horizontal="center" vertical="center"/>
    </xf>
    <xf numFmtId="167" fontId="1" fillId="0" borderId="73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166" fontId="17" fillId="21" borderId="7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24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32" fillId="0" borderId="21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36" fillId="12" borderId="65" xfId="0" applyFont="1" applyFill="1" applyBorder="1" applyAlignment="1">
      <alignment horizontal="center" vertical="center"/>
    </xf>
    <xf numFmtId="0" fontId="32" fillId="0" borderId="65" xfId="0" applyFont="1" applyBorder="1" applyAlignment="1">
      <alignment horizontal="center" vertical="center"/>
    </xf>
    <xf numFmtId="0" fontId="37" fillId="15" borderId="61" xfId="2" applyFont="1" applyFill="1" applyBorder="1" applyAlignment="1" applyProtection="1">
      <alignment horizontal="center" vertical="center" wrapText="1"/>
    </xf>
    <xf numFmtId="0" fontId="24" fillId="38" borderId="38" xfId="0" applyFont="1" applyFill="1" applyBorder="1" applyAlignment="1">
      <alignment horizontal="center" vertical="center"/>
    </xf>
    <xf numFmtId="0" fontId="24" fillId="38" borderId="55" xfId="0" applyFont="1" applyFill="1" applyBorder="1" applyAlignment="1">
      <alignment horizontal="center" vertical="center"/>
    </xf>
    <xf numFmtId="0" fontId="24" fillId="38" borderId="39" xfId="0" applyFont="1" applyFill="1" applyBorder="1" applyAlignment="1">
      <alignment horizontal="center" vertical="center"/>
    </xf>
    <xf numFmtId="0" fontId="24" fillId="38" borderId="62" xfId="0" applyFont="1" applyFill="1" applyBorder="1" applyAlignment="1">
      <alignment horizontal="center" vertical="center"/>
    </xf>
    <xf numFmtId="0" fontId="24" fillId="13" borderId="67" xfId="0" applyFont="1" applyFill="1" applyBorder="1" applyAlignment="1">
      <alignment horizontal="center" vertical="center" wrapText="1"/>
    </xf>
    <xf numFmtId="173" fontId="24" fillId="38" borderId="66" xfId="0" applyNumberFormat="1" applyFont="1" applyFill="1" applyBorder="1" applyAlignment="1">
      <alignment horizontal="center" vertical="center" wrapText="1"/>
    </xf>
    <xf numFmtId="0" fontId="24" fillId="38" borderId="75" xfId="0" applyFont="1" applyFill="1" applyBorder="1" applyAlignment="1">
      <alignment horizontal="center" vertical="center"/>
    </xf>
    <xf numFmtId="174" fontId="24" fillId="38" borderId="66" xfId="0" applyNumberFormat="1" applyFont="1" applyFill="1" applyBorder="1" applyAlignment="1">
      <alignment horizontal="center" vertical="center" wrapText="1"/>
    </xf>
    <xf numFmtId="0" fontId="24" fillId="38" borderId="76" xfId="0" applyFont="1" applyFill="1" applyBorder="1" applyAlignment="1">
      <alignment horizontal="center" vertical="center"/>
    </xf>
    <xf numFmtId="0" fontId="24" fillId="38" borderId="30" xfId="0" applyFont="1" applyFill="1" applyBorder="1" applyAlignment="1">
      <alignment horizontal="center" vertical="center"/>
    </xf>
    <xf numFmtId="0" fontId="24" fillId="38" borderId="42" xfId="0" applyFont="1" applyFill="1" applyBorder="1" applyAlignment="1">
      <alignment horizontal="center" vertical="center"/>
    </xf>
    <xf numFmtId="0" fontId="24" fillId="38" borderId="35" xfId="0" applyFont="1" applyFill="1" applyBorder="1" applyAlignment="1">
      <alignment horizontal="center" vertical="center"/>
    </xf>
    <xf numFmtId="0" fontId="24" fillId="38" borderId="41" xfId="0" applyFont="1" applyFill="1" applyBorder="1" applyAlignment="1">
      <alignment horizontal="center" vertical="center"/>
    </xf>
    <xf numFmtId="0" fontId="33" fillId="18" borderId="30" xfId="0" applyFont="1" applyFill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37" fillId="15" borderId="55" xfId="2" applyFont="1" applyFill="1" applyBorder="1" applyAlignment="1" applyProtection="1">
      <alignment horizontal="center" vertical="center" wrapText="1"/>
    </xf>
    <xf numFmtId="0" fontId="1" fillId="39" borderId="4" xfId="0" applyFont="1" applyFill="1" applyBorder="1" applyAlignment="1">
      <alignment horizontal="center" vertical="center"/>
    </xf>
    <xf numFmtId="0" fontId="0" fillId="39" borderId="23" xfId="0" applyFill="1" applyBorder="1" applyAlignment="1">
      <alignment horizontal="center" vertical="center"/>
    </xf>
    <xf numFmtId="175" fontId="0" fillId="22" borderId="4" xfId="0" applyNumberFormat="1" applyFill="1" applyBorder="1" applyAlignment="1" applyProtection="1">
      <alignment horizontal="center" vertical="center"/>
      <protection locked="0"/>
    </xf>
    <xf numFmtId="165" fontId="0" fillId="32" borderId="4" xfId="0" applyNumberFormat="1" applyFill="1" applyBorder="1" applyAlignment="1">
      <alignment horizontal="center" vertical="center"/>
    </xf>
    <xf numFmtId="165" fontId="0" fillId="39" borderId="4" xfId="0" applyNumberFormat="1" applyFill="1" applyBorder="1" applyAlignment="1">
      <alignment horizontal="center" vertical="center"/>
    </xf>
    <xf numFmtId="166" fontId="0" fillId="39" borderId="5" xfId="0" applyNumberFormat="1" applyFill="1" applyBorder="1" applyAlignment="1">
      <alignment horizontal="center" vertical="center"/>
    </xf>
    <xf numFmtId="165" fontId="0" fillId="22" borderId="4" xfId="0" applyNumberFormat="1" applyFill="1" applyBorder="1" applyAlignment="1" applyProtection="1">
      <alignment horizontal="center" vertical="center"/>
      <protection locked="0"/>
    </xf>
    <xf numFmtId="0" fontId="17" fillId="0" borderId="23" xfId="0" applyFont="1" applyBorder="1" applyAlignment="1">
      <alignment horizontal="center" vertical="center"/>
    </xf>
    <xf numFmtId="166" fontId="0" fillId="39" borderId="78" xfId="0" applyNumberFormat="1" applyFill="1" applyBorder="1" applyAlignment="1">
      <alignment horizontal="center" vertical="center"/>
    </xf>
    <xf numFmtId="1" fontId="0" fillId="22" borderId="63" xfId="0" applyNumberFormat="1" applyFill="1" applyBorder="1" applyAlignment="1" applyProtection="1">
      <alignment horizontal="center" vertical="center"/>
      <protection locked="0"/>
    </xf>
    <xf numFmtId="1" fontId="0" fillId="22" borderId="32" xfId="0" applyNumberFormat="1" applyFill="1" applyBorder="1" applyAlignment="1" applyProtection="1">
      <alignment horizontal="center" vertical="center"/>
      <protection locked="0"/>
    </xf>
    <xf numFmtId="1" fontId="0" fillId="22" borderId="24" xfId="0" applyNumberFormat="1" applyFill="1" applyBorder="1" applyAlignment="1" applyProtection="1">
      <alignment horizontal="center" vertical="center"/>
      <protection locked="0"/>
    </xf>
    <xf numFmtId="1" fontId="0" fillId="22" borderId="49" xfId="0" applyNumberFormat="1" applyFill="1" applyBorder="1" applyAlignment="1" applyProtection="1">
      <alignment horizontal="center" vertical="center"/>
      <protection locked="0"/>
    </xf>
    <xf numFmtId="165" fontId="38" fillId="40" borderId="29" xfId="7" applyNumberFormat="1" applyFont="1" applyFill="1" applyBorder="1" applyAlignment="1">
      <alignment horizontal="center" vertical="center"/>
    </xf>
    <xf numFmtId="166" fontId="17" fillId="0" borderId="23" xfId="0" applyNumberFormat="1" applyFont="1" applyBorder="1" applyAlignment="1">
      <alignment horizontal="center" vertical="center"/>
    </xf>
    <xf numFmtId="2" fontId="17" fillId="0" borderId="78" xfId="7" applyNumberFormat="1" applyFont="1" applyBorder="1" applyAlignment="1">
      <alignment horizontal="center" vertical="center"/>
    </xf>
    <xf numFmtId="2" fontId="38" fillId="40" borderId="6" xfId="7" applyNumberFormat="1" applyFont="1" applyFill="1" applyBorder="1" applyAlignment="1">
      <alignment horizontal="center" vertical="center"/>
    </xf>
    <xf numFmtId="164" fontId="0" fillId="39" borderId="6" xfId="5" applyNumberFormat="1" applyFont="1" applyFill="1" applyBorder="1" applyAlignment="1">
      <alignment horizontal="center" vertical="center"/>
    </xf>
    <xf numFmtId="166" fontId="38" fillId="40" borderId="31" xfId="0" applyNumberFormat="1" applyFont="1" applyFill="1" applyBorder="1" applyAlignment="1">
      <alignment horizontal="center" vertical="center"/>
    </xf>
    <xf numFmtId="2" fontId="38" fillId="40" borderId="6" xfId="7" applyNumberFormat="1" applyFont="1" applyFill="1" applyBorder="1" applyAlignment="1">
      <alignment horizontal="center" vertical="center" wrapText="1"/>
    </xf>
    <xf numFmtId="1" fontId="17" fillId="0" borderId="7" xfId="7" applyNumberFormat="1" applyFont="1" applyBorder="1" applyAlignment="1">
      <alignment horizontal="center" vertical="center"/>
    </xf>
    <xf numFmtId="1" fontId="0" fillId="0" borderId="7" xfId="0" applyNumberFormat="1" applyBorder="1" applyAlignment="1">
      <alignment horizontal="center" vertical="center"/>
    </xf>
    <xf numFmtId="1" fontId="17" fillId="0" borderId="10" xfId="7" applyNumberFormat="1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75" fontId="0" fillId="28" borderId="14" xfId="0" applyNumberFormat="1" applyFill="1" applyBorder="1" applyAlignment="1" applyProtection="1">
      <alignment horizontal="center" vertical="center"/>
      <protection locked="0"/>
    </xf>
    <xf numFmtId="165" fontId="0" fillId="0" borderId="14" xfId="0" applyNumberFormat="1" applyBorder="1" applyAlignment="1">
      <alignment horizontal="center" vertical="center"/>
    </xf>
    <xf numFmtId="166" fontId="0" fillId="0" borderId="15" xfId="0" applyNumberFormat="1" applyBorder="1" applyAlignment="1">
      <alignment horizontal="center" vertical="center"/>
    </xf>
    <xf numFmtId="165" fontId="0" fillId="28" borderId="14" xfId="0" applyNumberFormat="1" applyFill="1" applyBorder="1" applyAlignment="1" applyProtection="1">
      <alignment horizontal="center" vertical="center"/>
      <protection locked="0"/>
    </xf>
    <xf numFmtId="0" fontId="17" fillId="0" borderId="12" xfId="0" applyFont="1" applyBorder="1" applyAlignment="1">
      <alignment horizontal="center" vertical="center"/>
    </xf>
    <xf numFmtId="166" fontId="0" fillId="0" borderId="13" xfId="0" applyNumberFormat="1" applyBorder="1" applyAlignment="1">
      <alignment horizontal="center" vertical="center"/>
    </xf>
    <xf numFmtId="1" fontId="0" fillId="28" borderId="79" xfId="0" applyNumberFormat="1" applyFill="1" applyBorder="1" applyAlignment="1" applyProtection="1">
      <alignment horizontal="center" vertical="center"/>
      <protection locked="0"/>
    </xf>
    <xf numFmtId="1" fontId="0" fillId="28" borderId="14" xfId="0" applyNumberFormat="1" applyFill="1" applyBorder="1" applyAlignment="1" applyProtection="1">
      <alignment horizontal="center" vertical="center"/>
      <protection locked="0"/>
    </xf>
    <xf numFmtId="1" fontId="0" fillId="28" borderId="12" xfId="0" applyNumberFormat="1" applyFill="1" applyBorder="1" applyAlignment="1" applyProtection="1">
      <alignment horizontal="center" vertical="center"/>
      <protection locked="0"/>
    </xf>
    <xf numFmtId="1" fontId="0" fillId="28" borderId="15" xfId="0" applyNumberFormat="1" applyFill="1" applyBorder="1" applyAlignment="1" applyProtection="1">
      <alignment horizontal="center" vertical="center"/>
      <protection locked="0"/>
    </xf>
    <xf numFmtId="165" fontId="38" fillId="12" borderId="53" xfId="7" applyNumberFormat="1" applyFont="1" applyFill="1" applyBorder="1" applyAlignment="1">
      <alignment horizontal="center" vertical="center"/>
    </xf>
    <xf numFmtId="166" fontId="17" fillId="0" borderId="12" xfId="0" applyNumberFormat="1" applyFont="1" applyBorder="1" applyAlignment="1">
      <alignment horizontal="center" vertical="center"/>
    </xf>
    <xf numFmtId="2" fontId="17" fillId="0" borderId="13" xfId="7" applyNumberFormat="1" applyFont="1" applyBorder="1" applyAlignment="1">
      <alignment horizontal="center" vertical="center"/>
    </xf>
    <xf numFmtId="2" fontId="38" fillId="12" borderId="16" xfId="7" applyNumberFormat="1" applyFont="1" applyFill="1" applyBorder="1" applyAlignment="1">
      <alignment horizontal="center" vertical="center"/>
    </xf>
    <xf numFmtId="164" fontId="0" fillId="0" borderId="16" xfId="5" applyNumberFormat="1" applyFont="1" applyBorder="1" applyAlignment="1">
      <alignment horizontal="center" vertical="center"/>
    </xf>
    <xf numFmtId="166" fontId="38" fillId="12" borderId="54" xfId="0" applyNumberFormat="1" applyFont="1" applyFill="1" applyBorder="1" applyAlignment="1">
      <alignment horizontal="center" vertical="center"/>
    </xf>
    <xf numFmtId="2" fontId="38" fillId="12" borderId="16" xfId="7" applyNumberFormat="1" applyFont="1" applyFill="1" applyBorder="1" applyAlignment="1">
      <alignment horizontal="center" vertical="center" wrapText="1"/>
    </xf>
    <xf numFmtId="0" fontId="24" fillId="38" borderId="43" xfId="0" applyFont="1" applyFill="1" applyBorder="1" applyAlignment="1">
      <alignment horizontal="center" vertical="center"/>
    </xf>
    <xf numFmtId="0" fontId="24" fillId="38" borderId="44" xfId="0" applyFont="1" applyFill="1" applyBorder="1" applyAlignment="1">
      <alignment horizontal="center" vertical="center"/>
    </xf>
    <xf numFmtId="0" fontId="24" fillId="38" borderId="46" xfId="0" applyFont="1" applyFill="1" applyBorder="1" applyAlignment="1">
      <alignment horizontal="center" vertical="center"/>
    </xf>
    <xf numFmtId="165" fontId="24" fillId="38" borderId="55" xfId="0" applyNumberFormat="1" applyFont="1" applyFill="1" applyBorder="1" applyAlignment="1">
      <alignment horizontal="center" vertical="center"/>
    </xf>
    <xf numFmtId="166" fontId="24" fillId="38" borderId="39" xfId="0" applyNumberFormat="1" applyFont="1" applyFill="1" applyBorder="1" applyAlignment="1">
      <alignment horizontal="center" vertical="center"/>
    </xf>
    <xf numFmtId="2" fontId="24" fillId="38" borderId="2" xfId="0" applyNumberFormat="1" applyFont="1" applyFill="1" applyBorder="1" applyAlignment="1">
      <alignment horizontal="center" vertical="center"/>
    </xf>
    <xf numFmtId="0" fontId="24" fillId="38" borderId="64" xfId="0" applyFont="1" applyFill="1" applyBorder="1" applyAlignment="1">
      <alignment horizontal="center" vertical="center"/>
    </xf>
    <xf numFmtId="164" fontId="24" fillId="38" borderId="57" xfId="0" applyNumberFormat="1" applyFont="1" applyFill="1" applyBorder="1" applyAlignment="1">
      <alignment horizontal="center" vertical="center"/>
    </xf>
    <xf numFmtId="0" fontId="24" fillId="38" borderId="77" xfId="0" applyFont="1" applyFill="1" applyBorder="1"/>
    <xf numFmtId="0" fontId="24" fillId="38" borderId="64" xfId="0" applyFont="1" applyFill="1" applyBorder="1" applyAlignment="1">
      <alignment horizontal="center" vertical="center" wrapText="1"/>
    </xf>
    <xf numFmtId="0" fontId="24" fillId="38" borderId="0" xfId="0" applyFont="1" applyFill="1" applyAlignment="1">
      <alignment horizontal="center" vertical="center"/>
    </xf>
    <xf numFmtId="0" fontId="24" fillId="38" borderId="80" xfId="0" applyFont="1" applyFill="1" applyBorder="1" applyAlignment="1">
      <alignment horizontal="center" vertical="center"/>
    </xf>
    <xf numFmtId="0" fontId="0" fillId="39" borderId="4" xfId="0" applyFill="1" applyBorder="1" applyAlignment="1">
      <alignment horizontal="center" vertical="center"/>
    </xf>
    <xf numFmtId="1" fontId="0" fillId="22" borderId="6" xfId="0" applyNumberFormat="1" applyFill="1" applyBorder="1" applyAlignment="1" applyProtection="1">
      <alignment horizontal="center" vertical="center"/>
      <protection locked="0"/>
    </xf>
    <xf numFmtId="0" fontId="0" fillId="0" borderId="14" xfId="0" applyBorder="1" applyAlignment="1">
      <alignment horizontal="center" vertical="center"/>
    </xf>
    <xf numFmtId="1" fontId="0" fillId="28" borderId="16" xfId="0" applyNumberFormat="1" applyFill="1" applyBorder="1" applyAlignment="1" applyProtection="1">
      <alignment horizontal="center" vertical="center"/>
      <protection locked="0"/>
    </xf>
    <xf numFmtId="0" fontId="24" fillId="38" borderId="57" xfId="0" applyFont="1" applyFill="1" applyBorder="1" applyAlignment="1">
      <alignment horizontal="center" vertical="center"/>
    </xf>
    <xf numFmtId="9" fontId="0" fillId="39" borderId="6" xfId="5" applyFont="1" applyFill="1" applyBorder="1" applyAlignment="1">
      <alignment horizontal="center" vertical="center"/>
    </xf>
    <xf numFmtId="9" fontId="0" fillId="0" borderId="16" xfId="5" applyFont="1" applyBorder="1" applyAlignment="1">
      <alignment horizontal="center" vertical="center"/>
    </xf>
    <xf numFmtId="165" fontId="0" fillId="23" borderId="4" xfId="0" applyNumberFormat="1" applyFill="1" applyBorder="1" applyAlignment="1" applyProtection="1">
      <alignment horizontal="center" vertical="center"/>
      <protection locked="0"/>
    </xf>
    <xf numFmtId="165" fontId="0" fillId="29" borderId="14" xfId="0" applyNumberFormat="1" applyFill="1" applyBorder="1" applyAlignment="1" applyProtection="1">
      <alignment horizontal="center" vertical="center"/>
      <protection locked="0"/>
    </xf>
    <xf numFmtId="1" fontId="17" fillId="0" borderId="12" xfId="7" applyNumberFormat="1" applyFont="1" applyBorder="1" applyAlignment="1">
      <alignment horizontal="center" vertical="center"/>
    </xf>
    <xf numFmtId="0" fontId="15" fillId="12" borderId="24" xfId="0" applyFont="1" applyFill="1" applyBorder="1" applyAlignment="1">
      <alignment vertical="center"/>
    </xf>
    <xf numFmtId="0" fontId="35" fillId="0" borderId="25" xfId="0" applyFont="1" applyBorder="1" applyAlignment="1">
      <alignment horizontal="right" vertical="center"/>
    </xf>
    <xf numFmtId="2" fontId="0" fillId="0" borderId="24" xfId="0" applyNumberFormat="1" applyBorder="1" applyAlignment="1">
      <alignment horizontal="center" vertical="center"/>
    </xf>
    <xf numFmtId="0" fontId="15" fillId="12" borderId="24" xfId="0" applyFont="1" applyFill="1" applyBorder="1" applyAlignment="1">
      <alignment horizontal="right" vertical="center"/>
    </xf>
    <xf numFmtId="0" fontId="29" fillId="12" borderId="7" xfId="0" applyFont="1" applyFill="1" applyBorder="1" applyAlignment="1">
      <alignment vertical="center"/>
    </xf>
    <xf numFmtId="0" fontId="0" fillId="0" borderId="19" xfId="0" applyBorder="1" applyAlignment="1">
      <alignment horizontal="right" vertical="center"/>
    </xf>
    <xf numFmtId="2" fontId="4" fillId="30" borderId="7" xfId="1" applyNumberFormat="1" applyFill="1" applyBorder="1" applyAlignment="1">
      <alignment horizontal="center" vertical="center"/>
    </xf>
    <xf numFmtId="0" fontId="29" fillId="12" borderId="7" xfId="0" applyFont="1" applyFill="1" applyBorder="1" applyAlignment="1">
      <alignment horizontal="right" vertical="center"/>
    </xf>
    <xf numFmtId="164" fontId="4" fillId="30" borderId="7" xfId="5" applyNumberFormat="1" applyFont="1" applyFill="1" applyBorder="1" applyAlignment="1">
      <alignment horizontal="center" vertical="center"/>
    </xf>
    <xf numFmtId="2" fontId="4" fillId="30" borderId="7" xfId="1" applyNumberFormat="1" applyFill="1" applyBorder="1" applyAlignment="1">
      <alignment horizontal="center" vertical="center" wrapText="1"/>
    </xf>
    <xf numFmtId="0" fontId="30" fillId="12" borderId="7" xfId="0" applyFont="1" applyFill="1" applyBorder="1" applyAlignment="1">
      <alignment vertical="center"/>
    </xf>
    <xf numFmtId="2" fontId="4" fillId="31" borderId="7" xfId="1" applyNumberFormat="1" applyFill="1" applyBorder="1" applyAlignment="1">
      <alignment horizontal="center" vertical="center"/>
    </xf>
    <xf numFmtId="0" fontId="30" fillId="12" borderId="7" xfId="0" applyFont="1" applyFill="1" applyBorder="1" applyAlignment="1">
      <alignment horizontal="right" vertical="center"/>
    </xf>
    <xf numFmtId="164" fontId="4" fillId="31" borderId="7" xfId="5" applyNumberFormat="1" applyFont="1" applyFill="1" applyBorder="1" applyAlignment="1">
      <alignment horizontal="center" vertical="center"/>
    </xf>
    <xf numFmtId="2" fontId="4" fillId="31" borderId="7" xfId="1" applyNumberFormat="1" applyFill="1" applyBorder="1" applyAlignment="1">
      <alignment horizontal="center" vertical="center" wrapText="1"/>
    </xf>
    <xf numFmtId="0" fontId="29" fillId="12" borderId="55" xfId="0" applyFont="1" applyFill="1" applyBorder="1" applyAlignment="1">
      <alignment vertical="center"/>
    </xf>
    <xf numFmtId="0" fontId="30" fillId="12" borderId="55" xfId="0" applyFont="1" applyFill="1" applyBorder="1" applyAlignment="1">
      <alignment vertical="center"/>
    </xf>
    <xf numFmtId="10" fontId="14" fillId="22" borderId="7" xfId="5" applyNumberFormat="1" applyFont="1" applyFill="1" applyBorder="1" applyAlignment="1" applyProtection="1">
      <alignment horizontal="center" vertical="center"/>
      <protection locked="0"/>
    </xf>
    <xf numFmtId="165" fontId="4" fillId="22" borderId="25" xfId="4" applyNumberFormat="1" applyFont="1" applyFill="1" applyBorder="1" applyAlignment="1" applyProtection="1">
      <alignment horizontal="center" vertical="center" wrapText="1"/>
      <protection locked="0"/>
    </xf>
    <xf numFmtId="1" fontId="4" fillId="22" borderId="25" xfId="4" applyNumberFormat="1" applyFont="1" applyFill="1" applyBorder="1" applyAlignment="1" applyProtection="1">
      <alignment horizontal="center" vertical="center" wrapText="1"/>
      <protection locked="0"/>
    </xf>
    <xf numFmtId="165" fontId="4" fillId="22" borderId="7" xfId="4" applyNumberFormat="1" applyFont="1" applyFill="1" applyBorder="1" applyAlignment="1" applyProtection="1">
      <alignment horizontal="center" vertical="center" wrapText="1"/>
      <protection locked="0"/>
    </xf>
    <xf numFmtId="0" fontId="21" fillId="22" borderId="7" xfId="0" applyFont="1" applyFill="1" applyBorder="1" applyAlignment="1" applyProtection="1">
      <alignment vertical="center" wrapText="1"/>
      <protection locked="0"/>
    </xf>
    <xf numFmtId="0" fontId="1" fillId="0" borderId="10" xfId="4" applyBorder="1" applyAlignment="1">
      <alignment horizontal="left" vertical="center"/>
    </xf>
    <xf numFmtId="0" fontId="0" fillId="22" borderId="10" xfId="4" applyFont="1" applyFill="1" applyBorder="1" applyAlignment="1" applyProtection="1">
      <alignment horizontal="left" vertical="center"/>
      <protection locked="0"/>
    </xf>
    <xf numFmtId="0" fontId="4" fillId="0" borderId="0" xfId="1" applyAlignment="1">
      <alignment horizontal="center" vertical="center"/>
    </xf>
    <xf numFmtId="0" fontId="4" fillId="4" borderId="7" xfId="1" applyFill="1" applyBorder="1" applyAlignment="1">
      <alignment horizontal="left" vertical="center"/>
    </xf>
    <xf numFmtId="0" fontId="4" fillId="4" borderId="12" xfId="1" applyFill="1" applyBorder="1" applyAlignment="1">
      <alignment horizontal="left" vertical="center"/>
    </xf>
    <xf numFmtId="0" fontId="3" fillId="0" borderId="0" xfId="1" applyFont="1" applyAlignment="1">
      <alignment vertical="center"/>
    </xf>
    <xf numFmtId="0" fontId="3" fillId="0" borderId="0" xfId="1" quotePrefix="1" applyFont="1" applyAlignment="1">
      <alignment vertical="center"/>
    </xf>
    <xf numFmtId="166" fontId="24" fillId="0" borderId="0" xfId="3" applyNumberFormat="1" applyFont="1" applyAlignment="1">
      <alignment horizontal="center" vertical="center" wrapText="1"/>
    </xf>
    <xf numFmtId="0" fontId="24" fillId="0" borderId="0" xfId="3" applyFont="1" applyAlignment="1">
      <alignment horizontal="center" vertical="center" wrapText="1"/>
    </xf>
    <xf numFmtId="0" fontId="24" fillId="0" borderId="0" xfId="4" applyFont="1" applyAlignment="1">
      <alignment horizontal="center" vertical="center" wrapText="1"/>
    </xf>
    <xf numFmtId="0" fontId="8" fillId="27" borderId="0" xfId="4" applyFont="1" applyFill="1" applyBorder="1" applyAlignment="1">
      <alignment horizontal="center" vertical="center" wrapText="1"/>
    </xf>
    <xf numFmtId="0" fontId="1" fillId="32" borderId="52" xfId="4" applyFill="1" applyBorder="1" applyAlignment="1">
      <alignment horizontal="center" vertical="center"/>
    </xf>
    <xf numFmtId="0" fontId="1" fillId="0" borderId="50" xfId="4" applyBorder="1" applyAlignment="1">
      <alignment horizontal="center" vertical="center"/>
    </xf>
    <xf numFmtId="0" fontId="1" fillId="32" borderId="50" xfId="4" applyFill="1" applyBorder="1" applyAlignment="1">
      <alignment horizontal="center" vertical="center"/>
    </xf>
    <xf numFmtId="167" fontId="1" fillId="33" borderId="18" xfId="4" applyNumberFormat="1" applyFill="1" applyBorder="1" applyAlignment="1">
      <alignment horizontal="center" vertical="center"/>
    </xf>
    <xf numFmtId="167" fontId="1" fillId="12" borderId="18" xfId="4" applyNumberFormat="1" applyFill="1" applyBorder="1" applyAlignment="1">
      <alignment horizontal="center" vertical="center"/>
    </xf>
    <xf numFmtId="167" fontId="1" fillId="33" borderId="59" xfId="4" applyNumberFormat="1" applyFill="1" applyBorder="1" applyAlignment="1">
      <alignment horizontal="center" vertical="center"/>
    </xf>
    <xf numFmtId="165" fontId="1" fillId="32" borderId="7" xfId="4" applyNumberFormat="1" applyFill="1" applyBorder="1" applyAlignment="1">
      <alignment horizontal="center" vertical="center"/>
    </xf>
    <xf numFmtId="167" fontId="1" fillId="32" borderId="7" xfId="4" applyNumberFormat="1" applyFill="1" applyBorder="1" applyAlignment="1">
      <alignment horizontal="center" vertical="center"/>
    </xf>
    <xf numFmtId="165" fontId="1" fillId="33" borderId="7" xfId="4" applyNumberFormat="1" applyFill="1" applyBorder="1" applyAlignment="1">
      <alignment horizontal="center" vertical="center"/>
    </xf>
    <xf numFmtId="167" fontId="1" fillId="33" borderId="7" xfId="4" applyNumberFormat="1" applyFill="1" applyBorder="1" applyAlignment="1">
      <alignment horizontal="center" vertical="center"/>
    </xf>
    <xf numFmtId="165" fontId="1" fillId="0" borderId="7" xfId="4" applyNumberFormat="1" applyBorder="1" applyAlignment="1">
      <alignment horizontal="center" vertical="center"/>
    </xf>
    <xf numFmtId="167" fontId="1" fillId="0" borderId="7" xfId="4" applyNumberFormat="1" applyBorder="1" applyAlignment="1">
      <alignment horizontal="center" vertical="center"/>
    </xf>
    <xf numFmtId="165" fontId="1" fillId="32" borderId="23" xfId="4" applyNumberFormat="1" applyFill="1" applyBorder="1" applyAlignment="1">
      <alignment horizontal="center" vertical="center"/>
    </xf>
    <xf numFmtId="167" fontId="1" fillId="32" borderId="23" xfId="4" applyNumberFormat="1" applyFill="1" applyBorder="1" applyAlignment="1">
      <alignment horizontal="center" vertical="center"/>
    </xf>
    <xf numFmtId="167" fontId="1" fillId="32" borderId="5" xfId="4" applyNumberFormat="1" applyFill="1" applyBorder="1" applyAlignment="1">
      <alignment horizontal="center" vertical="center"/>
    </xf>
    <xf numFmtId="165" fontId="1" fillId="32" borderId="12" xfId="4" applyNumberFormat="1" applyFill="1" applyBorder="1" applyAlignment="1">
      <alignment horizontal="center" vertical="center"/>
    </xf>
    <xf numFmtId="167" fontId="1" fillId="32" borderId="12" xfId="4" applyNumberFormat="1" applyFill="1" applyBorder="1" applyAlignment="1">
      <alignment horizontal="center" vertical="center"/>
    </xf>
    <xf numFmtId="0" fontId="1" fillId="13" borderId="6" xfId="4" applyFill="1" applyBorder="1" applyAlignment="1">
      <alignment horizontal="center" vertical="center"/>
    </xf>
    <xf numFmtId="0" fontId="1" fillId="13" borderId="11" xfId="4" applyFill="1" applyBorder="1" applyAlignment="1">
      <alignment horizontal="center" vertical="center"/>
    </xf>
    <xf numFmtId="0" fontId="1" fillId="13" borderId="28" xfId="4" applyFill="1" applyBorder="1" applyAlignment="1">
      <alignment horizontal="center" vertical="center"/>
    </xf>
    <xf numFmtId="0" fontId="1" fillId="13" borderId="50" xfId="4" applyFill="1" applyBorder="1" applyAlignment="1">
      <alignment horizontal="center" vertical="center"/>
    </xf>
    <xf numFmtId="0" fontId="1" fillId="13" borderId="52" xfId="4" applyFill="1" applyBorder="1" applyAlignment="1">
      <alignment horizontal="center" vertical="center"/>
    </xf>
    <xf numFmtId="0" fontId="1" fillId="32" borderId="4" xfId="4" applyFill="1" applyBorder="1" applyAlignment="1">
      <alignment horizontal="center" vertical="center"/>
    </xf>
    <xf numFmtId="0" fontId="1" fillId="32" borderId="9" xfId="4" applyFill="1" applyBorder="1" applyAlignment="1">
      <alignment horizontal="center" vertical="center"/>
    </xf>
    <xf numFmtId="0" fontId="1" fillId="32" borderId="14" xfId="4" applyFill="1" applyBorder="1" applyAlignment="1">
      <alignment horizontal="center" vertical="center"/>
    </xf>
    <xf numFmtId="0" fontId="1" fillId="32" borderId="28" xfId="4" applyFill="1" applyBorder="1" applyAlignment="1">
      <alignment horizontal="center" vertical="center"/>
    </xf>
    <xf numFmtId="0" fontId="8" fillId="3" borderId="14" xfId="2" applyFont="1" applyFill="1" applyBorder="1" applyAlignment="1" applyProtection="1">
      <alignment horizontal="center" vertical="center" wrapText="1"/>
    </xf>
    <xf numFmtId="0" fontId="8" fillId="3" borderId="12" xfId="2" applyFont="1" applyFill="1" applyBorder="1" applyAlignment="1" applyProtection="1">
      <alignment horizontal="center" vertical="center" wrapText="1"/>
    </xf>
    <xf numFmtId="0" fontId="8" fillId="3" borderId="13" xfId="2" applyFont="1" applyFill="1" applyBorder="1" applyAlignment="1" applyProtection="1">
      <alignment horizontal="center" vertical="center" wrapText="1"/>
    </xf>
    <xf numFmtId="0" fontId="13" fillId="3" borderId="60" xfId="2" applyFont="1" applyFill="1" applyBorder="1" applyAlignment="1" applyProtection="1">
      <alignment horizontal="center" vertical="center" wrapText="1"/>
    </xf>
    <xf numFmtId="0" fontId="13" fillId="3" borderId="44" xfId="2" applyFont="1" applyFill="1" applyBorder="1" applyAlignment="1" applyProtection="1">
      <alignment horizontal="center" vertical="center" wrapText="1"/>
    </xf>
    <xf numFmtId="0" fontId="13" fillId="3" borderId="45" xfId="2" applyFont="1" applyFill="1" applyBorder="1" applyAlignment="1" applyProtection="1">
      <alignment horizontal="center" vertical="center" wrapText="1"/>
    </xf>
    <xf numFmtId="0" fontId="13" fillId="3" borderId="43" xfId="2" applyFont="1" applyFill="1" applyBorder="1" applyAlignment="1" applyProtection="1">
      <alignment horizontal="center" vertical="center" wrapText="1"/>
    </xf>
    <xf numFmtId="0" fontId="13" fillId="3" borderId="46" xfId="2" applyFont="1" applyFill="1" applyBorder="1" applyAlignment="1" applyProtection="1">
      <alignment horizontal="center" vertical="center" wrapText="1"/>
    </xf>
    <xf numFmtId="0" fontId="4" fillId="4" borderId="24" xfId="1" applyFill="1" applyBorder="1" applyAlignment="1">
      <alignment vertical="center"/>
    </xf>
    <xf numFmtId="0" fontId="4" fillId="4" borderId="24" xfId="1" applyFill="1" applyBorder="1" applyAlignment="1">
      <alignment horizontal="center" vertical="center"/>
    </xf>
    <xf numFmtId="0" fontId="9" fillId="5" borderId="17" xfId="1" applyFont="1" applyFill="1" applyBorder="1" applyAlignment="1" applyProtection="1">
      <alignment horizontal="center" vertical="center"/>
      <protection locked="0"/>
    </xf>
    <xf numFmtId="166" fontId="39" fillId="4" borderId="63" xfId="1" applyNumberFormat="1" applyFont="1" applyFill="1" applyBorder="1" applyAlignment="1">
      <alignment horizontal="center" vertical="center"/>
    </xf>
    <xf numFmtId="0" fontId="9" fillId="5" borderId="48" xfId="1" applyFont="1" applyFill="1" applyBorder="1" applyAlignment="1" applyProtection="1">
      <alignment horizontal="center" vertical="center"/>
      <protection locked="0"/>
    </xf>
    <xf numFmtId="1" fontId="9" fillId="4" borderId="25" xfId="1" applyNumberFormat="1" applyFont="1" applyFill="1" applyBorder="1" applyAlignment="1">
      <alignment horizontal="center" vertical="center"/>
    </xf>
    <xf numFmtId="2" fontId="9" fillId="4" borderId="24" xfId="1" applyNumberFormat="1" applyFont="1" applyFill="1" applyBorder="1" applyAlignment="1">
      <alignment horizontal="center" vertical="center"/>
    </xf>
    <xf numFmtId="2" fontId="9" fillId="4" borderId="1" xfId="1" applyNumberFormat="1" applyFont="1" applyFill="1" applyBorder="1" applyAlignment="1">
      <alignment horizontal="center" vertical="center"/>
    </xf>
    <xf numFmtId="2" fontId="40" fillId="4" borderId="24" xfId="1" applyNumberFormat="1" applyFont="1" applyFill="1" applyBorder="1" applyAlignment="1">
      <alignment horizontal="center" vertical="center"/>
    </xf>
    <xf numFmtId="2" fontId="40" fillId="4" borderId="49" xfId="1" applyNumberFormat="1" applyFont="1" applyFill="1" applyBorder="1" applyAlignment="1">
      <alignment horizontal="center" vertical="center"/>
    </xf>
    <xf numFmtId="166" fontId="9" fillId="4" borderId="32" xfId="1" applyNumberFormat="1" applyFont="1" applyFill="1" applyBorder="1" applyAlignment="1">
      <alignment horizontal="center" vertical="center"/>
    </xf>
    <xf numFmtId="166" fontId="9" fillId="4" borderId="24" xfId="1" applyNumberFormat="1" applyFont="1" applyFill="1" applyBorder="1" applyAlignment="1">
      <alignment horizontal="center" vertical="center"/>
    </xf>
    <xf numFmtId="2" fontId="40" fillId="4" borderId="9" xfId="1" applyNumberFormat="1" applyFont="1" applyFill="1" applyBorder="1" applyAlignment="1">
      <alignment horizontal="center" vertical="center"/>
    </xf>
    <xf numFmtId="0" fontId="9" fillId="5" borderId="58" xfId="1" applyFont="1" applyFill="1" applyBorder="1" applyAlignment="1" applyProtection="1">
      <alignment horizontal="center" vertical="center"/>
      <protection locked="0"/>
    </xf>
    <xf numFmtId="2" fontId="9" fillId="4" borderId="12" xfId="1" applyNumberFormat="1" applyFont="1" applyFill="1" applyBorder="1" applyAlignment="1">
      <alignment horizontal="center" vertical="center"/>
    </xf>
    <xf numFmtId="2" fontId="40" fillId="4" borderId="14" xfId="1" applyNumberFormat="1" applyFont="1" applyFill="1" applyBorder="1" applyAlignment="1">
      <alignment horizontal="center" vertical="center"/>
    </xf>
    <xf numFmtId="2" fontId="40" fillId="4" borderId="12" xfId="1" applyNumberFormat="1" applyFont="1" applyFill="1" applyBorder="1" applyAlignment="1">
      <alignment horizontal="center" vertical="center"/>
    </xf>
    <xf numFmtId="2" fontId="40" fillId="4" borderId="15" xfId="1" applyNumberFormat="1" applyFont="1" applyFill="1" applyBorder="1" applyAlignment="1">
      <alignment horizontal="center" vertical="center"/>
    </xf>
    <xf numFmtId="166" fontId="9" fillId="4" borderId="14" xfId="1" applyNumberFormat="1" applyFont="1" applyFill="1" applyBorder="1" applyAlignment="1">
      <alignment horizontal="center" vertical="center"/>
    </xf>
    <xf numFmtId="166" fontId="9" fillId="4" borderId="12" xfId="1" applyNumberFormat="1" applyFont="1" applyFill="1" applyBorder="1" applyAlignment="1">
      <alignment horizontal="center" vertical="center"/>
    </xf>
    <xf numFmtId="0" fontId="15" fillId="12" borderId="28" xfId="3" applyFont="1" applyFill="1" applyBorder="1" applyAlignment="1">
      <alignment horizontal="center" vertical="center"/>
    </xf>
    <xf numFmtId="0" fontId="15" fillId="12" borderId="28" xfId="3" applyFont="1" applyFill="1" applyBorder="1" applyAlignment="1">
      <alignment horizontal="right" vertical="center"/>
    </xf>
    <xf numFmtId="166" fontId="4" fillId="0" borderId="49" xfId="1" applyNumberFormat="1" applyBorder="1" applyAlignment="1">
      <alignment horizontal="center" vertical="center"/>
    </xf>
    <xf numFmtId="166" fontId="4" fillId="0" borderId="1" xfId="1" applyNumberFormat="1" applyBorder="1" applyAlignment="1">
      <alignment horizontal="center" vertical="center"/>
    </xf>
    <xf numFmtId="166" fontId="4" fillId="0" borderId="32" xfId="1" applyNumberFormat="1" applyBorder="1" applyAlignment="1">
      <alignment horizontal="center" vertical="center"/>
    </xf>
    <xf numFmtId="166" fontId="4" fillId="0" borderId="0" xfId="1" applyNumberFormat="1"/>
    <xf numFmtId="0" fontId="29" fillId="12" borderId="50" xfId="3" applyFont="1" applyFill="1" applyBorder="1" applyAlignment="1">
      <alignment horizontal="center" vertical="center"/>
    </xf>
    <xf numFmtId="166" fontId="4" fillId="30" borderId="11" xfId="1" applyNumberFormat="1" applyFill="1" applyBorder="1" applyAlignment="1">
      <alignment horizontal="center" vertical="center"/>
    </xf>
    <xf numFmtId="0" fontId="29" fillId="12" borderId="50" xfId="3" applyFont="1" applyFill="1" applyBorder="1" applyAlignment="1">
      <alignment horizontal="right" vertical="center"/>
    </xf>
    <xf numFmtId="166" fontId="4" fillId="30" borderId="10" xfId="1" applyNumberFormat="1" applyFill="1" applyBorder="1" applyAlignment="1">
      <alignment horizontal="center" vertical="center"/>
    </xf>
    <xf numFmtId="166" fontId="4" fillId="30" borderId="18" xfId="1" applyNumberFormat="1" applyFill="1" applyBorder="1" applyAlignment="1">
      <alignment horizontal="center" vertical="center"/>
    </xf>
    <xf numFmtId="166" fontId="4" fillId="30" borderId="9" xfId="1" applyNumberFormat="1" applyFill="1" applyBorder="1" applyAlignment="1">
      <alignment horizontal="center" vertical="center"/>
    </xf>
    <xf numFmtId="0" fontId="30" fillId="12" borderId="50" xfId="3" applyFont="1" applyFill="1" applyBorder="1" applyAlignment="1">
      <alignment horizontal="center" vertical="center"/>
    </xf>
    <xf numFmtId="166" fontId="4" fillId="31" borderId="11" xfId="1" applyNumberFormat="1" applyFill="1" applyBorder="1" applyAlignment="1">
      <alignment horizontal="center" vertical="center"/>
    </xf>
    <xf numFmtId="0" fontId="30" fillId="12" borderId="50" xfId="3" applyFont="1" applyFill="1" applyBorder="1" applyAlignment="1">
      <alignment horizontal="right" vertical="center"/>
    </xf>
    <xf numFmtId="166" fontId="4" fillId="31" borderId="10" xfId="1" applyNumberFormat="1" applyFill="1" applyBorder="1" applyAlignment="1">
      <alignment horizontal="center" vertical="center"/>
    </xf>
    <xf numFmtId="166" fontId="4" fillId="31" borderId="18" xfId="1" applyNumberFormat="1" applyFill="1" applyBorder="1" applyAlignment="1">
      <alignment horizontal="center" vertical="center"/>
    </xf>
    <xf numFmtId="166" fontId="4" fillId="31" borderId="9" xfId="1" applyNumberFormat="1" applyFill="1" applyBorder="1" applyAlignment="1">
      <alignment horizontal="center" vertical="center"/>
    </xf>
    <xf numFmtId="0" fontId="30" fillId="12" borderId="52" xfId="3" applyFont="1" applyFill="1" applyBorder="1" applyAlignment="1">
      <alignment horizontal="center" vertical="center"/>
    </xf>
    <xf numFmtId="166" fontId="4" fillId="31" borderId="16" xfId="1" applyNumberFormat="1" applyFill="1" applyBorder="1" applyAlignment="1">
      <alignment horizontal="center" vertical="center"/>
    </xf>
    <xf numFmtId="0" fontId="30" fillId="12" borderId="52" xfId="3" applyFont="1" applyFill="1" applyBorder="1" applyAlignment="1">
      <alignment horizontal="right" vertical="center"/>
    </xf>
    <xf numFmtId="166" fontId="4" fillId="31" borderId="12" xfId="1" applyNumberFormat="1" applyFill="1" applyBorder="1" applyAlignment="1">
      <alignment horizontal="center" vertical="center"/>
    </xf>
    <xf numFmtId="166" fontId="4" fillId="31" borderId="15" xfId="1" applyNumberFormat="1" applyFill="1" applyBorder="1" applyAlignment="1">
      <alignment horizontal="center" vertical="center"/>
    </xf>
    <xf numFmtId="166" fontId="4" fillId="31" borderId="14" xfId="1" applyNumberFormat="1" applyFill="1" applyBorder="1" applyAlignment="1">
      <alignment horizontal="center" vertical="center"/>
    </xf>
    <xf numFmtId="1" fontId="9" fillId="4" borderId="14" xfId="1" applyNumberFormat="1" applyFont="1" applyFill="1" applyBorder="1" applyAlignment="1">
      <alignment horizontal="center" vertical="center"/>
    </xf>
    <xf numFmtId="2" fontId="40" fillId="4" borderId="17" xfId="1" applyNumberFormat="1" applyFont="1" applyFill="1" applyBorder="1" applyAlignment="1">
      <alignment horizontal="center" vertical="center"/>
    </xf>
    <xf numFmtId="1" fontId="4" fillId="0" borderId="29" xfId="1" applyNumberFormat="1" applyBorder="1" applyAlignment="1">
      <alignment horizontal="center" vertical="center"/>
    </xf>
    <xf numFmtId="1" fontId="4" fillId="0" borderId="51" xfId="1" applyNumberFormat="1" applyBorder="1" applyAlignment="1">
      <alignment horizontal="center" vertical="center"/>
    </xf>
    <xf numFmtId="1" fontId="4" fillId="0" borderId="53" xfId="1" applyNumberFormat="1" applyBorder="1" applyAlignment="1">
      <alignment horizontal="center" vertical="center"/>
    </xf>
    <xf numFmtId="166" fontId="9" fillId="4" borderId="15" xfId="1" applyNumberFormat="1" applyFont="1" applyFill="1" applyBorder="1" applyAlignment="1">
      <alignment horizontal="center" vertical="center"/>
    </xf>
    <xf numFmtId="166" fontId="9" fillId="4" borderId="49" xfId="1" applyNumberFormat="1" applyFont="1" applyFill="1" applyBorder="1" applyAlignment="1">
      <alignment horizontal="center" vertical="center"/>
    </xf>
    <xf numFmtId="2" fontId="9" fillId="4" borderId="81" xfId="1" applyNumberFormat="1" applyFont="1" applyFill="1" applyBorder="1" applyAlignment="1">
      <alignment horizontal="center" vertical="center"/>
    </xf>
    <xf numFmtId="0" fontId="1" fillId="12" borderId="0" xfId="3" applyFill="1" applyBorder="1"/>
    <xf numFmtId="0" fontId="1" fillId="12" borderId="0" xfId="4" applyFill="1" applyBorder="1"/>
    <xf numFmtId="167" fontId="1" fillId="33" borderId="0" xfId="4" applyNumberFormat="1" applyFill="1" applyBorder="1" applyAlignment="1">
      <alignment horizontal="center" vertical="center"/>
    </xf>
    <xf numFmtId="166" fontId="39" fillId="4" borderId="16" xfId="1" applyNumberFormat="1" applyFont="1" applyFill="1" applyBorder="1" applyAlignment="1">
      <alignment horizontal="center" vertical="center"/>
    </xf>
    <xf numFmtId="166" fontId="27" fillId="29" borderId="7" xfId="0" quotePrefix="1" applyNumberFormat="1" applyFont="1" applyFill="1" applyBorder="1" applyAlignment="1" applyProtection="1">
      <alignment horizontal="center" vertical="center"/>
      <protection locked="0"/>
    </xf>
    <xf numFmtId="166" fontId="27" fillId="23" borderId="7" xfId="0" quotePrefix="1" applyNumberFormat="1" applyFont="1" applyFill="1" applyBorder="1" applyAlignment="1" applyProtection="1">
      <alignment horizontal="center" vertical="center"/>
      <protection locked="0"/>
    </xf>
    <xf numFmtId="165" fontId="1" fillId="0" borderId="74" xfId="0" applyNumberFormat="1" applyFont="1" applyBorder="1" applyAlignment="1">
      <alignment horizontal="center" vertical="center"/>
    </xf>
    <xf numFmtId="0" fontId="1" fillId="0" borderId="82" xfId="0" applyFont="1" applyBorder="1" applyAlignment="1">
      <alignment horizontal="center" vertical="center"/>
    </xf>
    <xf numFmtId="0" fontId="2" fillId="28" borderId="83" xfId="0" applyFont="1" applyFill="1" applyBorder="1" applyAlignment="1" applyProtection="1">
      <alignment horizontal="center" vertical="center"/>
      <protection locked="0"/>
    </xf>
    <xf numFmtId="0" fontId="34" fillId="0" borderId="3" xfId="0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center" vertical="center"/>
    </xf>
    <xf numFmtId="0" fontId="0" fillId="0" borderId="3" xfId="0" quotePrefix="1" applyBorder="1" applyAlignment="1">
      <alignment horizontal="center" vertical="center"/>
    </xf>
    <xf numFmtId="0" fontId="2" fillId="28" borderId="3" xfId="0" applyFont="1" applyFill="1" applyBorder="1" applyAlignment="1" applyProtection="1">
      <alignment horizontal="center" vertical="center"/>
      <protection locked="0"/>
    </xf>
    <xf numFmtId="165" fontId="0" fillId="0" borderId="3" xfId="0" applyNumberFormat="1" applyBorder="1" applyAlignment="1">
      <alignment horizontal="center" vertical="center" wrapText="1"/>
    </xf>
    <xf numFmtId="165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7" fontId="1" fillId="0" borderId="84" xfId="0" applyNumberFormat="1" applyFont="1" applyBorder="1" applyAlignment="1">
      <alignment horizontal="center" vertical="center"/>
    </xf>
    <xf numFmtId="0" fontId="1" fillId="0" borderId="85" xfId="0" applyFont="1" applyBorder="1" applyAlignment="1">
      <alignment horizontal="center" vertical="center"/>
    </xf>
    <xf numFmtId="0" fontId="1" fillId="37" borderId="86" xfId="0" applyFont="1" applyFill="1" applyBorder="1" applyAlignment="1">
      <alignment horizontal="center" vertical="center"/>
    </xf>
    <xf numFmtId="0" fontId="1" fillId="0" borderId="87" xfId="0" applyFont="1" applyBorder="1" applyAlignment="1">
      <alignment horizontal="center" vertical="center"/>
    </xf>
    <xf numFmtId="167" fontId="4" fillId="0" borderId="7" xfId="4" applyNumberFormat="1" applyFont="1" applyBorder="1" applyAlignment="1">
      <alignment horizontal="center" vertical="center" wrapText="1"/>
    </xf>
    <xf numFmtId="0" fontId="15" fillId="22" borderId="10" xfId="4" applyFont="1" applyFill="1" applyBorder="1" applyAlignment="1" applyProtection="1">
      <alignment vertical="center"/>
      <protection locked="0"/>
    </xf>
    <xf numFmtId="0" fontId="15" fillId="22" borderId="15" xfId="4" applyFont="1" applyFill="1" applyBorder="1" applyAlignment="1" applyProtection="1">
      <alignment vertical="center"/>
      <protection locked="0"/>
    </xf>
    <xf numFmtId="0" fontId="1" fillId="0" borderId="0" xfId="3" applyAlignment="1">
      <alignment horizontal="left" vertical="center"/>
    </xf>
    <xf numFmtId="0" fontId="5" fillId="2" borderId="1" xfId="1" applyFont="1" applyFill="1" applyBorder="1" applyAlignment="1">
      <alignment horizontal="lef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0" xfId="1" applyFont="1" applyFill="1" applyAlignment="1">
      <alignment horizontal="center" vertical="center"/>
    </xf>
    <xf numFmtId="0" fontId="4" fillId="0" borderId="0" xfId="1" applyBorder="1" applyAlignment="1">
      <alignment horizontal="center" vertical="center"/>
    </xf>
    <xf numFmtId="0" fontId="9" fillId="0" borderId="14" xfId="4" applyFont="1" applyBorder="1" applyAlignment="1">
      <alignment horizontal="center" vertical="center"/>
    </xf>
    <xf numFmtId="0" fontId="9" fillId="0" borderId="15" xfId="4" applyFont="1" applyBorder="1" applyAlignment="1">
      <alignment horizontal="center" vertical="center"/>
    </xf>
    <xf numFmtId="0" fontId="8" fillId="0" borderId="8" xfId="6" applyFont="1" applyBorder="1" applyAlignment="1">
      <alignment horizontal="center" vertical="center" wrapText="1"/>
    </xf>
    <xf numFmtId="0" fontId="8" fillId="0" borderId="19" xfId="6" applyFont="1" applyBorder="1" applyAlignment="1">
      <alignment horizontal="center" vertical="center" wrapText="1"/>
    </xf>
    <xf numFmtId="0" fontId="1" fillId="0" borderId="0" xfId="4" applyBorder="1" applyAlignment="1">
      <alignment horizontal="center" vertical="center" wrapText="1"/>
    </xf>
    <xf numFmtId="0" fontId="5" fillId="0" borderId="8" xfId="4" applyFont="1" applyBorder="1" applyAlignment="1">
      <alignment horizontal="center" vertical="center"/>
    </xf>
    <xf numFmtId="0" fontId="5" fillId="0" borderId="18" xfId="4" applyFont="1" applyBorder="1" applyAlignment="1">
      <alignment horizontal="center" vertical="center"/>
    </xf>
    <xf numFmtId="0" fontId="5" fillId="0" borderId="19" xfId="4" applyFont="1" applyBorder="1" applyAlignment="1">
      <alignment horizontal="center" vertical="center"/>
    </xf>
    <xf numFmtId="0" fontId="5" fillId="0" borderId="7" xfId="4" applyFont="1" applyBorder="1" applyAlignment="1">
      <alignment horizontal="center" vertical="center" wrapText="1"/>
    </xf>
    <xf numFmtId="0" fontId="5" fillId="0" borderId="7" xfId="4" applyFont="1" applyBorder="1" applyAlignment="1">
      <alignment horizontal="center" vertical="center"/>
    </xf>
    <xf numFmtId="0" fontId="5" fillId="0" borderId="8" xfId="4" applyFont="1" applyBorder="1" applyAlignment="1">
      <alignment horizontal="center" vertical="center" wrapText="1"/>
    </xf>
    <xf numFmtId="0" fontId="5" fillId="0" borderId="18" xfId="4" applyFont="1" applyBorder="1" applyAlignment="1">
      <alignment horizontal="center" vertical="center" wrapText="1"/>
    </xf>
    <xf numFmtId="0" fontId="5" fillId="0" borderId="19" xfId="4" applyFont="1" applyBorder="1" applyAlignment="1">
      <alignment horizontal="center" vertical="center" wrapText="1"/>
    </xf>
    <xf numFmtId="0" fontId="13" fillId="0" borderId="7" xfId="4" applyFont="1" applyBorder="1" applyAlignment="1">
      <alignment horizontal="center" vertical="center" wrapText="1"/>
    </xf>
    <xf numFmtId="0" fontId="5" fillId="0" borderId="4" xfId="4" applyFont="1" applyBorder="1" applyAlignment="1">
      <alignment horizontal="center" vertical="center" wrapText="1"/>
    </xf>
    <xf numFmtId="0" fontId="5" fillId="0" borderId="5" xfId="4" applyFont="1" applyBorder="1" applyAlignment="1">
      <alignment horizontal="center" vertical="center" wrapText="1"/>
    </xf>
    <xf numFmtId="0" fontId="2" fillId="0" borderId="0" xfId="4" applyFont="1" applyAlignment="1">
      <alignment horizontal="center" vertical="center" wrapText="1"/>
    </xf>
    <xf numFmtId="0" fontId="2" fillId="0" borderId="26" xfId="4" applyFont="1" applyBorder="1" applyAlignment="1">
      <alignment horizontal="center" vertical="center" wrapText="1"/>
    </xf>
    <xf numFmtId="0" fontId="2" fillId="0" borderId="28" xfId="4" applyFont="1" applyBorder="1" applyAlignment="1">
      <alignment horizontal="center" vertical="center"/>
    </xf>
    <xf numFmtId="0" fontId="2" fillId="0" borderId="29" xfId="4" applyFont="1" applyBorder="1" applyAlignment="1">
      <alignment horizontal="center" vertical="center"/>
    </xf>
    <xf numFmtId="0" fontId="41" fillId="0" borderId="0" xfId="4" applyFont="1" applyAlignment="1">
      <alignment horizontal="center" vertical="center" wrapText="1"/>
    </xf>
    <xf numFmtId="0" fontId="41" fillId="0" borderId="0" xfId="4" applyFont="1" applyAlignment="1">
      <alignment horizontal="center" vertical="center"/>
    </xf>
    <xf numFmtId="0" fontId="8" fillId="2" borderId="67" xfId="1" applyFont="1" applyFill="1" applyBorder="1" applyAlignment="1">
      <alignment horizontal="center"/>
    </xf>
    <xf numFmtId="0" fontId="8" fillId="2" borderId="65" xfId="1" applyFont="1" applyFill="1" applyBorder="1" applyAlignment="1">
      <alignment horizontal="center"/>
    </xf>
    <xf numFmtId="0" fontId="8" fillId="2" borderId="68" xfId="1" applyFont="1" applyFill="1" applyBorder="1" applyAlignment="1">
      <alignment horizontal="center"/>
    </xf>
    <xf numFmtId="0" fontId="8" fillId="0" borderId="57" xfId="1" applyFont="1" applyBorder="1" applyAlignment="1">
      <alignment horizontal="center" vertical="center" textRotation="255"/>
    </xf>
    <xf numFmtId="0" fontId="8" fillId="0" borderId="34" xfId="1" applyFont="1" applyBorder="1" applyAlignment="1">
      <alignment horizontal="center" vertical="center" textRotation="255"/>
    </xf>
    <xf numFmtId="0" fontId="5" fillId="2" borderId="28" xfId="1" applyFont="1" applyFill="1" applyBorder="1" applyAlignment="1">
      <alignment horizontal="left" vertical="center"/>
    </xf>
    <xf numFmtId="0" fontId="5" fillId="2" borderId="56" xfId="1" applyFont="1" applyFill="1" applyBorder="1" applyAlignment="1">
      <alignment horizontal="left" vertical="center"/>
    </xf>
    <xf numFmtId="176" fontId="13" fillId="3" borderId="6" xfId="2" quotePrefix="1" applyNumberFormat="1" applyFont="1" applyFill="1" applyBorder="1" applyAlignment="1" applyProtection="1">
      <alignment horizontal="center" vertical="center" textRotation="90" wrapText="1"/>
    </xf>
    <xf numFmtId="176" fontId="13" fillId="3" borderId="16" xfId="2" quotePrefix="1" applyNumberFormat="1" applyFont="1" applyFill="1" applyBorder="1" applyAlignment="1" applyProtection="1">
      <alignment horizontal="center" vertical="center" textRotation="90" wrapText="1"/>
    </xf>
    <xf numFmtId="176" fontId="13" fillId="3" borderId="29" xfId="2" quotePrefix="1" applyNumberFormat="1" applyFont="1" applyFill="1" applyBorder="1" applyAlignment="1" applyProtection="1">
      <alignment horizontal="center" vertical="center" wrapText="1"/>
    </xf>
    <xf numFmtId="176" fontId="13" fillId="3" borderId="53" xfId="2" quotePrefix="1" applyNumberFormat="1" applyFont="1" applyFill="1" applyBorder="1" applyAlignment="1" applyProtection="1">
      <alignment horizontal="center" vertical="center" wrapText="1"/>
    </xf>
    <xf numFmtId="0" fontId="22" fillId="11" borderId="20" xfId="4" applyFont="1" applyFill="1" applyBorder="1" applyAlignment="1">
      <alignment horizontal="center"/>
    </xf>
    <xf numFmtId="0" fontId="22" fillId="11" borderId="21" xfId="4" applyFont="1" applyFill="1" applyBorder="1" applyAlignment="1">
      <alignment horizontal="center"/>
    </xf>
    <xf numFmtId="0" fontId="22" fillId="11" borderId="22" xfId="4" applyFont="1" applyFill="1" applyBorder="1" applyAlignment="1">
      <alignment horizontal="center"/>
    </xf>
    <xf numFmtId="0" fontId="1" fillId="0" borderId="0" xfId="4" applyAlignment="1">
      <alignment horizontal="center" vertical="center" wrapText="1"/>
    </xf>
    <xf numFmtId="0" fontId="1" fillId="0" borderId="33" xfId="3" applyBorder="1" applyAlignment="1">
      <alignment horizontal="center"/>
    </xf>
    <xf numFmtId="170" fontId="13" fillId="14" borderId="20" xfId="4" applyNumberFormat="1" applyFont="1" applyFill="1" applyBorder="1" applyAlignment="1">
      <alignment horizontal="center" vertical="center" wrapText="1"/>
    </xf>
    <xf numFmtId="170" fontId="13" fillId="14" borderId="21" xfId="4" applyNumberFormat="1" applyFont="1" applyFill="1" applyBorder="1" applyAlignment="1">
      <alignment horizontal="center" vertical="center" wrapText="1"/>
    </xf>
    <xf numFmtId="170" fontId="13" fillId="14" borderId="22" xfId="4" applyNumberFormat="1" applyFont="1" applyFill="1" applyBorder="1" applyAlignment="1">
      <alignment horizontal="center" vertical="center" wrapText="1"/>
    </xf>
    <xf numFmtId="171" fontId="13" fillId="14" borderId="20" xfId="4" applyNumberFormat="1" applyFont="1" applyFill="1" applyBorder="1" applyAlignment="1">
      <alignment horizontal="center" vertical="center" wrapText="1"/>
    </xf>
    <xf numFmtId="171" fontId="13" fillId="14" borderId="21" xfId="4" applyNumberFormat="1" applyFont="1" applyFill="1" applyBorder="1" applyAlignment="1">
      <alignment horizontal="center" vertical="center" wrapText="1"/>
    </xf>
    <xf numFmtId="171" fontId="13" fillId="14" borderId="22" xfId="4" applyNumberFormat="1" applyFont="1" applyFill="1" applyBorder="1" applyAlignment="1">
      <alignment horizontal="center" vertical="center" wrapText="1"/>
    </xf>
    <xf numFmtId="0" fontId="13" fillId="14" borderId="20" xfId="4" applyFont="1" applyFill="1" applyBorder="1" applyAlignment="1">
      <alignment horizontal="center" vertical="center"/>
    </xf>
    <xf numFmtId="0" fontId="13" fillId="14" borderId="22" xfId="4" applyFont="1" applyFill="1" applyBorder="1" applyAlignment="1">
      <alignment horizontal="center" vertical="center"/>
    </xf>
    <xf numFmtId="0" fontId="1" fillId="0" borderId="33" xfId="4" applyBorder="1" applyAlignment="1">
      <alignment horizontal="center" vertical="center"/>
    </xf>
    <xf numFmtId="0" fontId="1" fillId="0" borderId="34" xfId="4" applyBorder="1" applyAlignment="1">
      <alignment horizontal="center" vertical="center"/>
    </xf>
    <xf numFmtId="0" fontId="24" fillId="13" borderId="20" xfId="4" applyFont="1" applyFill="1" applyBorder="1" applyAlignment="1">
      <alignment horizontal="center" vertical="center"/>
    </xf>
    <xf numFmtId="0" fontId="24" fillId="13" borderId="21" xfId="4" applyFont="1" applyFill="1" applyBorder="1" applyAlignment="1">
      <alignment horizontal="center" vertical="center"/>
    </xf>
    <xf numFmtId="0" fontId="24" fillId="13" borderId="22" xfId="4" applyFont="1" applyFill="1" applyBorder="1" applyAlignment="1">
      <alignment horizontal="center" vertical="center"/>
    </xf>
    <xf numFmtId="169" fontId="13" fillId="14" borderId="20" xfId="7" applyNumberFormat="1" applyFont="1" applyFill="1" applyBorder="1" applyAlignment="1">
      <alignment horizontal="center" vertical="center" wrapText="1"/>
    </xf>
    <xf numFmtId="169" fontId="13" fillId="14" borderId="21" xfId="7" applyNumberFormat="1" applyFont="1" applyFill="1" applyBorder="1" applyAlignment="1">
      <alignment horizontal="center" vertical="center" wrapText="1"/>
    </xf>
    <xf numFmtId="169" fontId="13" fillId="14" borderId="22" xfId="7" applyNumberFormat="1" applyFont="1" applyFill="1" applyBorder="1" applyAlignment="1">
      <alignment horizontal="center" vertical="center" wrapText="1"/>
    </xf>
    <xf numFmtId="169" fontId="13" fillId="14" borderId="21" xfId="4" applyNumberFormat="1" applyFont="1" applyFill="1" applyBorder="1" applyAlignment="1">
      <alignment horizontal="center" vertical="center" wrapText="1"/>
    </xf>
    <xf numFmtId="169" fontId="13" fillId="14" borderId="20" xfId="4" applyNumberFormat="1" applyFont="1" applyFill="1" applyBorder="1" applyAlignment="1">
      <alignment horizontal="center" vertical="center" wrapText="1"/>
    </xf>
    <xf numFmtId="169" fontId="13" fillId="14" borderId="22" xfId="4" applyNumberFormat="1" applyFont="1" applyFill="1" applyBorder="1" applyAlignment="1">
      <alignment horizontal="center" vertical="center" wrapText="1"/>
    </xf>
    <xf numFmtId="169" fontId="13" fillId="14" borderId="28" xfId="4" applyNumberFormat="1" applyFont="1" applyFill="1" applyBorder="1" applyAlignment="1">
      <alignment horizontal="center" vertical="center" wrapText="1"/>
    </xf>
    <xf numFmtId="169" fontId="13" fillId="14" borderId="56" xfId="4" applyNumberFormat="1" applyFont="1" applyFill="1" applyBorder="1" applyAlignment="1">
      <alignment horizontal="center" vertical="center" wrapText="1"/>
    </xf>
    <xf numFmtId="0" fontId="5" fillId="27" borderId="57" xfId="4" applyFont="1" applyFill="1" applyBorder="1" applyAlignment="1">
      <alignment horizontal="center" vertical="center" wrapText="1"/>
    </xf>
    <xf numFmtId="0" fontId="5" fillId="27" borderId="64" xfId="4" applyFont="1" applyFill="1" applyBorder="1" applyAlignment="1">
      <alignment horizontal="center" vertical="center" wrapText="1"/>
    </xf>
    <xf numFmtId="0" fontId="24" fillId="0" borderId="0" xfId="4" applyFont="1" applyAlignment="1">
      <alignment horizontal="center" vertical="center" wrapText="1"/>
    </xf>
    <xf numFmtId="0" fontId="24" fillId="0" borderId="0" xfId="4" applyFont="1" applyAlignment="1">
      <alignment horizontal="center" wrapText="1"/>
    </xf>
    <xf numFmtId="0" fontId="8" fillId="27" borderId="57" xfId="4" applyFont="1" applyFill="1" applyBorder="1" applyAlignment="1">
      <alignment horizontal="center" vertical="center" wrapText="1"/>
    </xf>
    <xf numFmtId="0" fontId="8" fillId="27" borderId="64" xfId="4" applyFont="1" applyFill="1" applyBorder="1" applyAlignment="1">
      <alignment horizontal="center" vertical="center" wrapText="1"/>
    </xf>
    <xf numFmtId="0" fontId="8" fillId="27" borderId="37" xfId="4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1" fillId="0" borderId="20" xfId="0" applyFont="1" applyBorder="1" applyAlignment="1">
      <alignment horizontal="center" vertical="center"/>
    </xf>
    <xf numFmtId="0" fontId="31" fillId="0" borderId="21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3" fillId="0" borderId="67" xfId="0" applyFont="1" applyBorder="1" applyAlignment="1">
      <alignment horizontal="center" vertical="center"/>
    </xf>
    <xf numFmtId="0" fontId="33" fillId="0" borderId="65" xfId="0" applyFont="1" applyBorder="1" applyAlignment="1">
      <alignment horizontal="center" vertical="center"/>
    </xf>
    <xf numFmtId="0" fontId="33" fillId="0" borderId="68" xfId="0" applyFont="1" applyBorder="1" applyAlignment="1">
      <alignment horizontal="center" vertical="center"/>
    </xf>
    <xf numFmtId="0" fontId="37" fillId="15" borderId="62" xfId="2" applyFont="1" applyFill="1" applyBorder="1" applyAlignment="1" applyProtection="1">
      <alignment horizontal="center" vertical="center" wrapText="1"/>
    </xf>
    <xf numFmtId="0" fontId="37" fillId="15" borderId="77" xfId="2" applyFont="1" applyFill="1" applyBorder="1" applyAlignment="1" applyProtection="1">
      <alignment horizontal="center" vertical="center" wrapText="1"/>
    </xf>
    <xf numFmtId="0" fontId="37" fillId="15" borderId="57" xfId="2" applyFont="1" applyFill="1" applyBorder="1" applyAlignment="1" applyProtection="1">
      <alignment horizontal="center" vertical="center" wrapText="1"/>
    </xf>
    <xf numFmtId="0" fontId="37" fillId="15" borderId="64" xfId="2" applyFont="1" applyFill="1" applyBorder="1" applyAlignment="1" applyProtection="1">
      <alignment horizontal="center" vertical="center" wrapText="1"/>
    </xf>
    <xf numFmtId="0" fontId="24" fillId="0" borderId="33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</cellXfs>
  <cellStyles count="9">
    <cellStyle name="Lien hypertexte" xfId="2" builtinId="8"/>
    <cellStyle name="Normal" xfId="0" builtinId="0"/>
    <cellStyle name="Normal 2" xfId="3" xr:uid="{DB0F19EE-8D1D-414A-918D-B781E803C356}"/>
    <cellStyle name="Normal 2 2" xfId="1" xr:uid="{2E0568C4-BFE5-4D4A-B520-C4CD4D7FD4DD}"/>
    <cellStyle name="Normal 2 2 2" xfId="8" xr:uid="{FE6FEF52-AFEB-470E-B811-2AFB6278924E}"/>
    <cellStyle name="Normal 2 3" xfId="4" xr:uid="{45A22A00-24F8-4139-8C9B-44747F51F94D}"/>
    <cellStyle name="Normal 2 4" xfId="6" xr:uid="{2AF9217A-4035-4DAF-B137-BF094A6A3277}"/>
    <cellStyle name="Normal 3" xfId="7" xr:uid="{968564D5-455B-43EF-9F43-256DE91D4685}"/>
    <cellStyle name="Pourcentage 2" xfId="5" xr:uid="{E14C9B20-7475-49F4-8AA2-0A6091C8C5BC}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207434</xdr:colOff>
      <xdr:row>5</xdr:row>
      <xdr:rowOff>110067</xdr:rowOff>
    </xdr:from>
    <xdr:to>
      <xdr:col>12</xdr:col>
      <xdr:colOff>437830</xdr:colOff>
      <xdr:row>22</xdr:row>
      <xdr:rowOff>89112</xdr:rowOff>
    </xdr:to>
    <xdr:pic>
      <xdr:nvPicPr>
        <xdr:cNvPr id="2" name="Image 1" descr="cce2">
          <a:extLst>
            <a:ext uri="{FF2B5EF4-FFF2-40B4-BE49-F238E27FC236}">
              <a16:creationId xmlns:a16="http://schemas.microsoft.com/office/drawing/2014/main" id="{B9B0BF89-22E6-42C6-9310-97FF00EA3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27434" y="919692"/>
          <a:ext cx="1754396" cy="2731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173303</xdr:colOff>
      <xdr:row>16</xdr:row>
      <xdr:rowOff>80960</xdr:rowOff>
    </xdr:from>
    <xdr:to>
      <xdr:col>6</xdr:col>
      <xdr:colOff>680245</xdr:colOff>
      <xdr:row>20</xdr:row>
      <xdr:rowOff>19047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C44446D-3194-4655-82B5-7CEF17879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1303" y="2671760"/>
          <a:ext cx="2030942" cy="585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428625</xdr:colOff>
      <xdr:row>1</xdr:row>
      <xdr:rowOff>9522</xdr:rowOff>
    </xdr:from>
    <xdr:to>
      <xdr:col>17</xdr:col>
      <xdr:colOff>654844</xdr:colOff>
      <xdr:row>61</xdr:row>
      <xdr:rowOff>11905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34E92418-E2F0-4AE1-A7A0-2F91ED8E44CF}"/>
            </a:ext>
          </a:extLst>
        </xdr:cNvPr>
        <xdr:cNvSpPr txBox="1"/>
      </xdr:nvSpPr>
      <xdr:spPr>
        <a:xfrm>
          <a:off x="428625" y="176210"/>
          <a:ext cx="13180219" cy="10003633"/>
        </a:xfrm>
        <a:prstGeom prst="rect">
          <a:avLst/>
        </a:prstGeom>
        <a:gradFill>
          <a:gsLst>
            <a:gs pos="0">
              <a:srgbClr val="92D050"/>
            </a:gs>
            <a:gs pos="80000">
              <a:schemeClr val="accent5">
                <a:shade val="93000"/>
                <a:satMod val="130000"/>
              </a:schemeClr>
            </a:gs>
            <a:gs pos="100000">
              <a:schemeClr val="accent5">
                <a:shade val="94000"/>
                <a:satMod val="135000"/>
              </a:schemeClr>
            </a:gs>
          </a:gsLst>
        </a:gradFill>
        <a:ln w="28575">
          <a:solidFill>
            <a:srgbClr val="002060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 extrusionH="12700" contourW="12700">
          <a:bevelT w="63500" h="254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 b="1">
              <a:solidFill>
                <a:srgbClr val="FF0000"/>
              </a:solidFill>
            </a:rPr>
            <a:t>Evaluation autoréférencée du relais 2x30m</a:t>
          </a:r>
        </a:p>
        <a:p>
          <a:endParaRPr lang="fr-FR" sz="1100"/>
        </a:p>
        <a:p>
          <a:r>
            <a:rPr lang="fr-FR" sz="1100" spc="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Les </a:t>
          </a:r>
          <a:r>
            <a:rPr lang="fr-FR" sz="1100" b="1" spc="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cellules en jaune</a:t>
          </a:r>
          <a:r>
            <a:rPr lang="fr-FR" sz="1100" spc="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sont modifiables</a:t>
          </a:r>
          <a:r>
            <a:rPr lang="fr-FR" sz="1100" spc="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sans déprotéger la feuille de calcul.</a:t>
          </a:r>
          <a:endParaRPr lang="fr-FR" sz="1100" spc="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100" spc="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spc="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 </a:t>
          </a:r>
          <a:r>
            <a:rPr lang="fr-FR" sz="1100" b="1" spc="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feuille  "Liste</a:t>
          </a:r>
          <a:r>
            <a:rPr lang="fr-FR" sz="1100" b="1" spc="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" </a:t>
          </a:r>
          <a:r>
            <a:rPr lang="fr-FR" sz="1100" spc="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doit être rempli</a:t>
          </a:r>
          <a:r>
            <a:rPr lang="fr-FR" sz="1100" spc="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 en premier</a:t>
          </a:r>
          <a:r>
            <a:rPr lang="fr-FR" sz="1100" spc="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soit manuellement, soit </a:t>
          </a:r>
          <a:r>
            <a:rPr lang="fr-FR" sz="1100" spc="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à l'aide de la fonction</a:t>
          </a:r>
          <a:r>
            <a:rPr lang="fr-FR" sz="1100" spc="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"coller des valeurs" : cf le 1 de l'image sous Excel =&gt;</a:t>
          </a:r>
        </a:p>
        <a:p>
          <a:r>
            <a:rPr lang="fr-FR" sz="1100" spc="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- </a:t>
          </a:r>
          <a:r>
            <a:rPr lang="fr-FR" sz="1100" b="1" spc="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N'oubliez d'inscire le </a:t>
          </a:r>
          <a:r>
            <a:rPr lang="fr-FR" sz="1100" b="1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genre (</a:t>
          </a:r>
          <a:r>
            <a:rPr lang="fr-FR" sz="1100" b="1" spc="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</a:t>
          </a:r>
          <a:r>
            <a:rPr lang="fr-FR" sz="1100" b="1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ou</a:t>
          </a:r>
          <a:r>
            <a:rPr lang="fr-FR" sz="1100" b="1" spc="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</a:t>
          </a:r>
          <a:r>
            <a:rPr lang="fr-FR" sz="1100" b="1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fr-FR" sz="110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pour </a:t>
          </a:r>
          <a:r>
            <a:rPr lang="fr-FR" sz="1100" spc="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permettre le  bon déroulement des calculs.</a:t>
          </a: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lang="fr-FR" sz="1100" spc="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spc="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La </a:t>
          </a:r>
          <a:r>
            <a:rPr lang="fr-FR" sz="1100" b="1" spc="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feuille  "Notes</a:t>
          </a:r>
          <a:r>
            <a:rPr lang="fr-FR" sz="1100" b="1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"  :</a:t>
          </a:r>
        </a:p>
        <a:p>
          <a:pPr eaLnBrk="1" fontAlgn="auto" latinLnBrk="0" hangingPunct="1"/>
          <a:r>
            <a:rPr lang="fr-FR" sz="110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	- Les notes des différentes épreuves sont récapitulées dans cette feuille pour donner la note finale sur 20.</a:t>
          </a:r>
          <a:endParaRPr lang="fr-RE" spc="100">
            <a:solidFill>
              <a:sysClr val="windowText" lastClr="000000"/>
            </a:solidFill>
            <a:effectLst/>
          </a:endParaRPr>
        </a:p>
        <a:p>
          <a:pPr eaLnBrk="1" fontAlgn="auto" latinLnBrk="0" hangingPunct="1"/>
          <a:r>
            <a:rPr lang="fr-FR" sz="110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	- La meilleure note de relais est conservée pour le calcul final. </a:t>
          </a:r>
          <a:endParaRPr lang="fr-RE" spc="100">
            <a:solidFill>
              <a:sysClr val="windowText" lastClr="000000"/>
            </a:solidFill>
            <a:effectLst/>
          </a:endParaRPr>
        </a:p>
        <a:p>
          <a:pPr eaLnBrk="1" fontAlgn="auto" latinLnBrk="0" hangingPunct="1"/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	- Note de participation : Elle est à l'appréciation du professeur.</a:t>
          </a:r>
          <a:endParaRPr lang="fr-RE" spc="100">
            <a:solidFill>
              <a:sysClr val="windowText" lastClr="000000"/>
            </a:solidFill>
            <a:effectLst/>
          </a:endParaRPr>
        </a:p>
        <a:p>
          <a:endParaRPr lang="fr-FR" sz="1100" b="0" spc="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Dans la </a:t>
          </a:r>
          <a:r>
            <a:rPr lang="fr-FR" sz="1100" b="1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feuille "Perf.Sprint"</a:t>
          </a:r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fr-FR" sz="1100" b="1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vous inscrivez </a:t>
          </a:r>
          <a:r>
            <a:rPr lang="fr-FR" sz="1100" b="0" u="sng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temps sur  10m,15m, 30m et  40m</a:t>
          </a:r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  <a:endParaRPr lang="fr-FR" spc="100">
            <a:solidFill>
              <a:sysClr val="windowText" lastClr="000000"/>
            </a:solidFill>
            <a:effectLst/>
          </a:endParaRPr>
        </a:p>
        <a:p>
          <a:pPr lvl="1"/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Les informations de cette feuille servent à faire les calculs automatisés dans les feuilles suivantes.</a:t>
          </a:r>
        </a:p>
        <a:p>
          <a:pPr lvl="1"/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Seule la performance sur 30m est prise en compte pour la note de sprint.</a:t>
          </a:r>
        </a:p>
        <a:p>
          <a:pPr lvl="1"/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Il est possible de choisir entre le temps minimum ou la moyenne des temps pour le calcul des notes et</a:t>
          </a:r>
        </a:p>
        <a:p>
          <a:pPr lvl="1"/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des performances cibles.</a:t>
          </a:r>
        </a:p>
        <a:p>
          <a:pPr lvl="1"/>
          <a:r>
            <a:rPr lang="fr-FR" sz="1100" b="0" spc="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Les colonnes sous Participation récapitule le nombre de courses par distance. </a:t>
          </a:r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Légende ci-dessous:</a:t>
          </a:r>
        </a:p>
        <a:p>
          <a:pPr lvl="1"/>
          <a:r>
            <a:rPr lang="fr-FR" sz="1100" b="0" spc="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	</a:t>
          </a:r>
        </a:p>
        <a:p>
          <a:pPr lvl="1"/>
          <a:endParaRPr lang="fr-FR" sz="1100" b="0" spc="10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lvl="1"/>
          <a:endParaRPr lang="fr-FR" sz="1100" b="0" spc="10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lvl="1"/>
          <a:endParaRPr lang="fr-FR" spc="100">
            <a:solidFill>
              <a:schemeClr val="tx1"/>
            </a:solidFill>
            <a:effectLst/>
          </a:endParaRPr>
        </a:p>
        <a:p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Dans les </a:t>
          </a:r>
          <a:r>
            <a:rPr lang="fr-FR" sz="1100" b="1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feuilles "Clt 15m" et "Clt 30m"</a:t>
          </a:r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fr-FR" sz="1100" b="1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 b="0" u="sng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 classement féminin et masculin se fait automatiquement </a:t>
          </a:r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 fur et à mesure</a:t>
          </a:r>
        </a:p>
        <a:p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que les perforamnces sont saisies dans la feuile "Sprint". Il indique les temps  ainsi que la vitesse en km/h correspondante.</a:t>
          </a:r>
        </a:p>
        <a:p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Cela rend possible, par exemple, la comparaison des vitesses pour constater une incohérence</a:t>
          </a:r>
        </a:p>
        <a:p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ou la mise en place de course où les coureurs ont une égalité des chances pour arriver premier.</a:t>
          </a:r>
        </a:p>
        <a:p>
          <a:endParaRPr lang="fr-FR" sz="1100" b="0" spc="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Dans la </a:t>
          </a:r>
          <a:r>
            <a:rPr lang="fr-FR" sz="1100" b="1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feuille "Compo.Relais(1)" et "Compo.Relais(2)" </a:t>
          </a:r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fr-FR" sz="1100" b="1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vous inscrivez </a:t>
          </a:r>
          <a:r>
            <a:rPr lang="fr-FR" sz="1100" b="0" u="sng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élèves par binômes pour composer les relais</a:t>
          </a:r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Afin que la trnasmission soit facilitée, la différence  de vitesse entre les deux relayeurs ne devraient pas  excéder 2km/h. (MAYEKO - AEEPS RENNES - 2022)</a:t>
          </a:r>
        </a:p>
        <a:p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 classement en ordre croissant des binômes (A=&gt;B) se fait en fonction de leur temps moyen théorique sur les 2 relais.</a:t>
          </a:r>
        </a:p>
        <a:p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 temps théorique d'un relais est calculé en faisant la somme des temps du donneur (35m départ arrêté) et du receveur (25m départ lancé).</a:t>
          </a:r>
        </a:p>
        <a:p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 partir de ces informations, l'ordre (A ou B) des coureurs a son importance et il est nécessaire de le respecter lors des courses.</a:t>
          </a:r>
        </a:p>
        <a:p>
          <a:endParaRPr lang="fr-FR" sz="1100" b="0" spc="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Dans la </a:t>
          </a:r>
          <a:r>
            <a:rPr lang="fr-FR" sz="1100" b="1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feuille "Perf.Relais(1)" et "Perf.Relais(2)" </a:t>
          </a:r>
          <a:r>
            <a:rPr lang="fr-FR" sz="110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dont l'ordre des courses dépend resepctivement  du classement dans la feuille </a:t>
          </a:r>
          <a:r>
            <a:rPr lang="fr-FR" sz="1100" b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"Compo.Relais(1)" et "Compo.Relais(2).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b="0" spc="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Lorsque les 10m, 15m, les 30m et les 40m ont été enregistrés, les informations suivantes sont alors disponibles:</a:t>
          </a:r>
        </a:p>
        <a:p>
          <a:pPr lvl="1"/>
          <a:r>
            <a:rPr lang="fr-FR" sz="110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- Temps théorique du relais et vitesse correspondante en km/h</a:t>
          </a: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fr-FR" sz="1100" u="sng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Saisir le remps chronométré du relais pour obtenir</a:t>
          </a:r>
        </a:p>
        <a:p>
          <a:pPr marL="457200" marR="0" lvl="1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fr-FR" sz="1100" u="sng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Valider par OUI ou par NON:</a:t>
          </a:r>
          <a:endParaRPr lang="fr-RE" u="sng" spc="100">
            <a:solidFill>
              <a:sysClr val="windowText" lastClr="000000"/>
            </a:solidFill>
            <a:effectLst/>
          </a:endParaRPr>
        </a:p>
        <a:p>
          <a:pPr eaLnBrk="1" fontAlgn="auto" latinLnBrk="0" hangingPunct="1"/>
          <a:r>
            <a:rPr lang="fr-FR" sz="110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	· Pour le receveur: regarder devant soi pendant la transmission et bras tendu  uniquement pendant la transmission (sur le "hop" et sur 3 à 4 foulées)</a:t>
          </a:r>
          <a:endParaRPr lang="fr-RE" spc="100">
            <a:solidFill>
              <a:sysClr val="windowText" lastClr="000000"/>
            </a:solidFill>
            <a:effectLst/>
          </a:endParaRPr>
        </a:p>
        <a:p>
          <a:pPr eaLnBrk="1" fontAlgn="auto" latinLnBrk="0" hangingPunct="1"/>
          <a:r>
            <a:rPr lang="fr-FR" sz="1100" spc="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	</a:t>
          </a:r>
          <a:r>
            <a:rPr lang="fr-FR" sz="110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· Pour le donneur: transmission mains opposées et rester dans son couloir après la transmission</a:t>
          </a:r>
          <a:endParaRPr lang="fr-RE" spc="100">
            <a:solidFill>
              <a:sysClr val="windowText" lastClr="000000"/>
            </a:solidFill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spc="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b="0" spc="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La feuille  </a:t>
          </a:r>
          <a:r>
            <a:rPr lang="fr-FR" sz="1100" b="1" spc="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"Barème" </a:t>
          </a:r>
          <a:r>
            <a:rPr lang="fr-FR" sz="1100" b="0" spc="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contient les barèmes qui sont modifiables.</a:t>
          </a:r>
          <a:endParaRPr lang="fr-FR" spc="100">
            <a:solidFill>
              <a:sysClr val="windowText" lastClr="000000"/>
            </a:solidFill>
            <a:effectLst/>
          </a:endParaRPr>
        </a:p>
        <a:p>
          <a:endParaRPr lang="fr-FR" sz="1100" spc="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spc="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Les feuilles sont protégées en écriture sans mot de passe. </a:t>
          </a:r>
        </a:p>
        <a:p>
          <a:endParaRPr lang="fr-FR" sz="1100" spc="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100" spc="100">
              <a:solidFill>
                <a:schemeClr val="tx1"/>
              </a:solidFill>
            </a:rPr>
            <a:t>Stéphane HOAREAU (2019-2025)</a:t>
          </a:r>
        </a:p>
        <a:p>
          <a:endParaRPr lang="fr-FR" sz="1100" spc="100">
            <a:solidFill>
              <a:schemeClr val="tx1"/>
            </a:solidFill>
          </a:endParaRPr>
        </a:p>
        <a:p>
          <a:r>
            <a:rPr lang="fr-FR" sz="1100" spc="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Bibliographie:</a:t>
          </a:r>
          <a:endParaRPr lang="fr-RE" spc="100">
            <a:solidFill>
              <a:sysClr val="windowText" lastClr="000000"/>
            </a:solidFill>
            <a:effectLst/>
          </a:endParaRPr>
        </a:p>
        <a:p>
          <a:r>
            <a:rPr lang="fr-FR" sz="1100" spc="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GRASSET L.</a:t>
          </a:r>
          <a:r>
            <a:rPr lang="fr-FR" sz="110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&amp;  </a:t>
          </a:r>
          <a:r>
            <a:rPr lang="fr-FR" sz="1100" spc="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MAUFFREY</a:t>
          </a:r>
          <a:r>
            <a:rPr lang="fr-FR" sz="110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D. (2003), "Choix d'une pratique scolaire" in Revue  "EPS "n°301,  p23-33</a:t>
          </a:r>
          <a:endParaRPr lang="fr-RE" spc="100">
            <a:solidFill>
              <a:sysClr val="windowText" lastClr="000000"/>
            </a:solidFill>
            <a:effectLst/>
          </a:endParaRPr>
        </a:p>
        <a:p>
          <a:pPr eaLnBrk="1" fontAlgn="auto" latinLnBrk="0" hangingPunct="1"/>
          <a:r>
            <a:rPr lang="fr-RE" sz="1100" spc="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GRASSET L. (2006), "Relais athlétique au lycée : d'une pratique scolaire à l'accompagnement de ses apprentissages"</a:t>
          </a:r>
          <a:r>
            <a:rPr lang="fr-RE" sz="110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in </a:t>
          </a:r>
          <a:r>
            <a:rPr lang="fr-RE" sz="1100" spc="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"Les cahiers du CEDRE/CEDREPS" : Faire pratiquer ... pour faire apprendre (Deuxième partie) , vol. 6, p.32-43 </a:t>
          </a:r>
          <a:endParaRPr lang="fr-RE" spc="100">
            <a:solidFill>
              <a:sysClr val="windowText" lastClr="000000"/>
            </a:solidFill>
            <a:effectLst/>
          </a:endParaRPr>
        </a:p>
        <a:p>
          <a:r>
            <a:rPr lang="fr-RE" sz="1100" b="0" i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COLAS D. &amp;  LAVIE F. (2013),  "Plaidoyer pour le relais 2 x 40 mètres aux baccalauréats général et professionnel" in  Revue Enseigner l'EPS n°259, p.14-18</a:t>
          </a:r>
          <a:endParaRPr lang="fr-RE" spc="100">
            <a:solidFill>
              <a:sysClr val="windowText" lastClr="000000"/>
            </a:solidFill>
            <a:effectLst/>
          </a:endParaRPr>
        </a:p>
        <a:p>
          <a:r>
            <a:rPr lang="fr-FR" sz="1100" b="0" i="0" spc="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GRASSET L.</a:t>
          </a:r>
          <a:r>
            <a:rPr lang="fr-FR" sz="1100" b="0" i="0" spc="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(2015), </a:t>
          </a:r>
          <a:r>
            <a:rPr lang="fr-FR" sz="1100" b="0" i="0" spc="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4 fois 50 m en relais vitesse au baccalauréat, une épreuve qui interroge" in  Collection "Les cahiers du CEDRE/CEDREPS" "Forme de pratique scolaire, objet d'enseignement et discipline EPS, vol. 14, p.169-180 </a:t>
          </a:r>
        </a:p>
        <a:p>
          <a:r>
            <a:rPr lang="fr-RE" spc="100">
              <a:solidFill>
                <a:sysClr val="windowText" lastClr="000000"/>
              </a:solidFill>
              <a:effectLst/>
            </a:rPr>
            <a:t>HANULA G., LLOBET E. &amp; SAULNIER J.-Y, Devenir champion de soi-même, p. 11, Revue Enseigner l’EPS n°267, 2015)</a:t>
          </a:r>
        </a:p>
        <a:p>
          <a:endParaRPr lang="fr-FR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15</xdr:col>
      <xdr:colOff>141300</xdr:colOff>
      <xdr:row>2</xdr:row>
      <xdr:rowOff>11923</xdr:rowOff>
    </xdr:from>
    <xdr:to>
      <xdr:col>17</xdr:col>
      <xdr:colOff>371696</xdr:colOff>
      <xdr:row>18</xdr:row>
      <xdr:rowOff>157655</xdr:rowOff>
    </xdr:to>
    <xdr:pic>
      <xdr:nvPicPr>
        <xdr:cNvPr id="5" name="Image 4" descr="cce2">
          <a:extLst>
            <a:ext uri="{FF2B5EF4-FFF2-40B4-BE49-F238E27FC236}">
              <a16:creationId xmlns:a16="http://schemas.microsoft.com/office/drawing/2014/main" id="{E91F70FC-17C3-4A5E-830C-1C5E62304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71300" y="345298"/>
          <a:ext cx="1754396" cy="2812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726293</xdr:colOff>
      <xdr:row>20</xdr:row>
      <xdr:rowOff>89971</xdr:rowOff>
    </xdr:from>
    <xdr:to>
      <xdr:col>7</xdr:col>
      <xdr:colOff>471235</xdr:colOff>
      <xdr:row>24</xdr:row>
      <xdr:rowOff>28058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BCAEBB3-CFFF-4D41-8B16-6A7EEFDD6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4293" y="3423721"/>
          <a:ext cx="2030942" cy="604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230303</xdr:colOff>
      <xdr:row>2</xdr:row>
      <xdr:rowOff>154781</xdr:rowOff>
    </xdr:from>
    <xdr:to>
      <xdr:col>17</xdr:col>
      <xdr:colOff>444544</xdr:colOff>
      <xdr:row>39</xdr:row>
      <xdr:rowOff>116086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4FF4F94-9581-4647-9E54-776C003E4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02178" y="697706"/>
          <a:ext cx="8786741" cy="7009805"/>
        </a:xfrm>
        <a:prstGeom prst="rect">
          <a:avLst/>
        </a:prstGeom>
      </xdr:spPr>
    </xdr:pic>
    <xdr:clientData/>
  </xdr:twoCellAnchor>
  <xdr:oneCellAnchor>
    <xdr:from>
      <xdr:col>10</xdr:col>
      <xdr:colOff>0</xdr:colOff>
      <xdr:row>52</xdr:row>
      <xdr:rowOff>154781</xdr:rowOff>
    </xdr:from>
    <xdr:ext cx="184731" cy="264560"/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DBECE17E-28DB-46D5-B38C-07489E22C912}"/>
            </a:ext>
          </a:extLst>
        </xdr:cNvPr>
        <xdr:cNvSpPr txBox="1"/>
      </xdr:nvSpPr>
      <xdr:spPr>
        <a:xfrm>
          <a:off x="7143750" y="1022270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twoCellAnchor>
    <xdr:from>
      <xdr:col>17</xdr:col>
      <xdr:colOff>420506</xdr:colOff>
      <xdr:row>2</xdr:row>
      <xdr:rowOff>176891</xdr:rowOff>
    </xdr:from>
    <xdr:to>
      <xdr:col>23</xdr:col>
      <xdr:colOff>682058</xdr:colOff>
      <xdr:row>13</xdr:row>
      <xdr:rowOff>153080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7E05AA5-844D-4B3F-A83C-F37190C185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5680"/>
        <a:stretch/>
      </xdr:blipFill>
      <xdr:spPr>
        <a:xfrm>
          <a:off x="12564881" y="719816"/>
          <a:ext cx="4547802" cy="2071689"/>
        </a:xfrm>
        <a:prstGeom prst="rect">
          <a:avLst/>
        </a:prstGeom>
        <a:gradFill>
          <a:gsLst>
            <a:gs pos="0">
              <a:schemeClr val="accent6">
                <a:lumMod val="20000"/>
                <a:lumOff val="80000"/>
              </a:schemeClr>
            </a:gs>
            <a:gs pos="99000">
              <a:schemeClr val="bg1"/>
            </a:gs>
          </a:gsLst>
          <a:lin ang="16200000" scaled="1"/>
        </a:gradFill>
        <a:ln>
          <a:solidFill>
            <a:schemeClr val="accent6">
              <a:lumMod val="60000"/>
              <a:lumOff val="40000"/>
            </a:schemeClr>
          </a:solidFill>
        </a:ln>
      </xdr:spPr>
    </xdr:pic>
    <xdr:clientData/>
  </xdr:twoCellAnchor>
  <xdr:twoCellAnchor>
    <xdr:from>
      <xdr:col>17</xdr:col>
      <xdr:colOff>409916</xdr:colOff>
      <xdr:row>14</xdr:row>
      <xdr:rowOff>54427</xdr:rowOff>
    </xdr:from>
    <xdr:to>
      <xdr:col>23</xdr:col>
      <xdr:colOff>659948</xdr:colOff>
      <xdr:row>38</xdr:row>
      <xdr:rowOff>108857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1920CD9F-F827-45CE-8975-F945C0887E44}"/>
            </a:ext>
          </a:extLst>
        </xdr:cNvPr>
        <xdr:cNvSpPr/>
      </xdr:nvSpPr>
      <xdr:spPr>
        <a:xfrm>
          <a:off x="12554291" y="2883352"/>
          <a:ext cx="4536282" cy="4626430"/>
        </a:xfrm>
        <a:prstGeom prst="rect">
          <a:avLst/>
        </a:prstGeom>
        <a:gradFill>
          <a:gsLst>
            <a:gs pos="0">
              <a:schemeClr val="accent5">
                <a:tint val="50000"/>
                <a:satMod val="300000"/>
              </a:schemeClr>
            </a:gs>
            <a:gs pos="0">
              <a:schemeClr val="accent6">
                <a:lumMod val="20000"/>
                <a:lumOff val="80000"/>
              </a:schemeClr>
            </a:gs>
            <a:gs pos="100000">
              <a:schemeClr val="bg1"/>
            </a:gs>
          </a:gsLst>
          <a:lin ang="16200000" scaled="1"/>
        </a:gradFill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fr-FR" sz="1100" b="1" u="sng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Chronométrage collectif</a:t>
          </a:r>
          <a:r>
            <a:rPr lang="fr-FR" sz="1100" b="1" u="sng" baseline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</a:t>
          </a:r>
          <a:r>
            <a:rPr lang="fr-FR" sz="1100" b="1" u="sng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du  10m, 15m, 30m et 40m</a:t>
          </a:r>
        </a:p>
        <a:p>
          <a:pPr algn="ctr"/>
          <a:endParaRPr lang="fr-RE" b="1">
            <a:effectLst/>
          </a:endParaRPr>
        </a:p>
        <a:p>
          <a:pPr algn="ctr"/>
          <a:r>
            <a:rPr lang="fr-FR" sz="1100" b="0" u="sng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Placement</a:t>
          </a:r>
          <a:r>
            <a:rPr lang="fr-FR" sz="1100" b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</a:t>
          </a:r>
          <a:r>
            <a:rPr lang="fr-FR" sz="1100" b="1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du chronométreur </a:t>
          </a:r>
          <a:r>
            <a:rPr lang="fr-FR" sz="1100" b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avec la tablette à au moins 1m</a:t>
          </a:r>
          <a:endParaRPr lang="fr-RE">
            <a:effectLst/>
          </a:endParaRPr>
        </a:p>
        <a:p>
          <a:pPr algn="ctr"/>
          <a:r>
            <a:rPr lang="fr-FR" sz="1100" b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de</a:t>
          </a:r>
          <a:r>
            <a:rPr lang="fr-FR" sz="1100" b="0" baseline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la piste dans le prolongement de la ligne d'arrivée. </a:t>
          </a:r>
          <a:r>
            <a:rPr lang="fr-FR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L'idéal serait  de se positionner à 5m de la piste et à 5m en hauteur selon Jimson Lee (2011).</a:t>
          </a:r>
        </a:p>
        <a:p>
          <a:pPr algn="ctr"/>
          <a:endParaRPr lang="fr-RE">
            <a:effectLst/>
          </a:endParaRPr>
        </a:p>
        <a:p>
          <a:pPr algn="ctr"/>
          <a:r>
            <a:rPr lang="fr-FR" sz="1100" b="1" baseline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Avec </a:t>
          </a: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</a:t>
          </a:r>
          <a:r>
            <a:rPr lang="fr-F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 applications Coach's eye (SDK GoPro) ou Seconds Count</a:t>
          </a:r>
          <a:r>
            <a:rPr lang="fr-FR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si l'élève filme la course en suivant les coureurs, il devra se figer face à l'arrivée dès que le premier coureur aura franchit la ligne et attendre que tous les autres  coureurs l'aient franchi à leur tour pour arreter de filmer.</a:t>
          </a:r>
        </a:p>
        <a:p>
          <a:pPr algn="ctr"/>
          <a:endParaRPr lang="fr-FR" sz="11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L'application </a:t>
          </a:r>
          <a:r>
            <a:rPr lang="fr-FR" sz="1100" b="1" baseline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Beam  Trainer BLE sous Androïd </a:t>
          </a:r>
          <a:r>
            <a:rPr lang="fr-FR" sz="1100" b="0" baseline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comme l'application </a:t>
          </a:r>
          <a:r>
            <a:rPr lang="fr-FR" sz="1100" b="1" baseline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Sprinttimer sous IOS </a:t>
          </a:r>
          <a:r>
            <a:rPr lang="fr-FR" sz="1100" b="0" baseline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permettent de faire une </a:t>
          </a:r>
          <a:r>
            <a:rPr lang="fr-R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photo-finish</a:t>
          </a:r>
          <a:r>
            <a:rPr lang="fr-FR" sz="1100" b="1" baseline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.</a:t>
          </a:r>
          <a:endParaRPr lang="fr-RE">
            <a:effectLst/>
          </a:endParaRPr>
        </a:p>
        <a:p>
          <a:pPr algn="ctr"/>
          <a:endParaRPr lang="fr-FR" sz="1100" b="0" baseline="0">
            <a:solidFill>
              <a:schemeClr val="dk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  <a:ea typeface="+mn-ea"/>
            <a:cs typeface="+mn-cs"/>
          </a:endParaRPr>
        </a:p>
        <a:p>
          <a:pPr algn="ctr"/>
          <a:r>
            <a:rPr lang="fr-FR" sz="1100" b="0" baseline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Avec ces deux dernières applications, le chronométreur filme en plaçant  les épaules parallèles à l'axe de la course, les coudes collés au corps en restant immobile.Il démarre le chronométrage aux ordres du starter.</a:t>
          </a:r>
          <a:endParaRPr lang="fr-RE">
            <a:effectLst/>
          </a:endParaRPr>
        </a:p>
        <a:p>
          <a:pPr algn="ctr"/>
          <a:r>
            <a:rPr lang="fr-FR" sz="1100" b="0" baseline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(L'usage d'un trépied est recommandé).</a:t>
          </a:r>
          <a:endParaRPr lang="fr-RE">
            <a:effectLst/>
          </a:endParaRPr>
        </a:p>
        <a:p>
          <a:pPr algn="ctr"/>
          <a:endParaRPr lang="fr-FR" sz="11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L'application Sprinttimer 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dans son </a:t>
          </a:r>
          <a:r>
            <a:rPr lang="fr-FR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mode "Multiple devices"</a:t>
          </a:r>
          <a:endParaRPr lang="fr-RE">
            <a:effectLst/>
          </a:endParaRPr>
        </a:p>
        <a:p>
          <a:pPr algn="ctr"/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permet un déclenchement synchronisé et ouvre la possibilité de prendre</a:t>
          </a:r>
          <a:endParaRPr lang="fr-RE">
            <a:effectLst/>
          </a:endParaRPr>
        </a:p>
        <a:p>
          <a:pPr algn="ctr"/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des</a:t>
          </a:r>
          <a:r>
            <a:rPr lang="fr-FR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R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photo-finishs</a:t>
          </a:r>
          <a:r>
            <a:rPr lang="fr-R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à différentes distances en fonction</a:t>
          </a:r>
          <a:endParaRPr lang="fr-RE">
            <a:effectLst/>
          </a:endParaRPr>
        </a:p>
        <a:p>
          <a:pPr algn="ctr"/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nombres d'appareils IOS disponibles en un seul passage.</a:t>
          </a:r>
        </a:p>
        <a:p>
          <a:pPr algn="ctr"/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 réseau wifi local et temporaire est conseillé pour augmenter la portée entre appareils (Blog Sprinttimer).</a:t>
          </a:r>
          <a:endParaRPr lang="fr-FR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oneCellAnchor>
    <xdr:from>
      <xdr:col>1</xdr:col>
      <xdr:colOff>47625</xdr:colOff>
      <xdr:row>16</xdr:row>
      <xdr:rowOff>95409</xdr:rowOff>
    </xdr:from>
    <xdr:ext cx="6298406" cy="6476841"/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46DF822-B85C-4FBF-B545-AF5361F7D950}"/>
            </a:ext>
          </a:extLst>
        </xdr:cNvPr>
        <xdr:cNvSpPr txBox="1"/>
      </xdr:nvSpPr>
      <xdr:spPr>
        <a:xfrm>
          <a:off x="762000" y="3305334"/>
          <a:ext cx="6298406" cy="6476841"/>
        </a:xfrm>
        <a:prstGeom prst="rect">
          <a:avLst/>
        </a:prstGeom>
        <a:gradFill>
          <a:gsLst>
            <a:gs pos="0">
              <a:schemeClr val="tx2">
                <a:lumMod val="20000"/>
                <a:lumOff val="80000"/>
              </a:schemeClr>
            </a:gs>
            <a:gs pos="99000">
              <a:schemeClr val="bg1"/>
            </a:gs>
          </a:gsLst>
          <a:lin ang="16200000" scaled="1"/>
        </a:gradFill>
        <a:ln>
          <a:solidFill>
            <a:schemeClr val="tx2">
              <a:lumMod val="60000"/>
              <a:lumOff val="4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u="sng"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Chronométrage individuel</a:t>
          </a:r>
          <a:r>
            <a:rPr lang="fr-FR" sz="1100" b="0" u="sng" baseline="0"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</a:t>
          </a:r>
          <a:r>
            <a:rPr lang="fr-FR" sz="1100" b="0" u="sng"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du 10m, 15m, 30m et 40m en une course</a:t>
          </a:r>
          <a:endParaRPr lang="fr-RE">
            <a:effectLst/>
          </a:endParaRPr>
        </a:p>
        <a:p>
          <a:pPr algn="ctr"/>
          <a:endParaRPr lang="fr-FR" sz="1100" u="sng">
            <a:solidFill>
              <a:sysClr val="windowText" lastClr="000000"/>
            </a:solidFill>
          </a:endParaRPr>
        </a:p>
        <a:p>
          <a:pPr algn="ctr"/>
          <a:r>
            <a:rPr lang="fr-RE" u="sng"/>
            <a:t>Mise en place du protocole </a:t>
          </a:r>
          <a:r>
            <a:rPr lang="fr-RE" sz="1100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adaptée </a:t>
          </a:r>
          <a:r>
            <a:rPr lang="fr-RE" u="sng"/>
            <a:t>"MySprint" (temps de mise en</a:t>
          </a:r>
          <a:r>
            <a:rPr lang="fr-RE" u="sng" baseline="0"/>
            <a:t> place:</a:t>
          </a:r>
          <a:r>
            <a:rPr lang="fr-RE" b="0" u="sng"/>
            <a:t> 10 minutes environ).</a:t>
          </a:r>
          <a:endParaRPr lang="fr-FR" sz="1100" b="0" u="sng">
            <a:solidFill>
              <a:sysClr val="windowText" lastClr="000000"/>
            </a:solidFill>
          </a:endParaRPr>
        </a:p>
        <a:p>
          <a:pPr algn="ctr"/>
          <a:endParaRPr lang="fr-FR" sz="1100" u="sng">
            <a:solidFill>
              <a:sysClr val="windowText" lastClr="000000"/>
            </a:solidFill>
          </a:endParaRPr>
        </a:p>
        <a:p>
          <a:pPr algn="ctr"/>
          <a:r>
            <a:rPr lang="fr-FR" sz="1100" u="none">
              <a:solidFill>
                <a:sysClr val="windowText" lastClr="000000"/>
              </a:solidFill>
            </a:rPr>
            <a:t>Le protocole initiale de l'application</a:t>
          </a:r>
          <a:r>
            <a:rPr lang="fr-FR" sz="1100" u="none" baseline="0">
              <a:solidFill>
                <a:sysClr val="windowText" lastClr="000000"/>
              </a:solidFill>
            </a:rPr>
            <a:t> "</a:t>
          </a:r>
          <a:r>
            <a:rPr lang="fr-FR" sz="1100" u="none">
              <a:solidFill>
                <a:sysClr val="windowText" lastClr="000000"/>
              </a:solidFill>
            </a:rPr>
            <a:t>Mysprint" sur IOS a pour objectif</a:t>
          </a:r>
        </a:p>
        <a:p>
          <a:pPr algn="ctr"/>
          <a:r>
            <a:rPr lang="fr-FR" sz="1100" u="none">
              <a:solidFill>
                <a:sysClr val="windowText" lastClr="000000"/>
              </a:solidFill>
            </a:rPr>
            <a:t>de définir la force-vitesse </a:t>
          </a:r>
          <a:r>
            <a:rPr lang="fr-FR" sz="1100" u="none" baseline="0">
              <a:solidFill>
                <a:sysClr val="windowText" lastClr="000000"/>
              </a:solidFill>
            </a:rPr>
            <a:t>à partir de l'analyse vidéo des temps de passage lors d'un sprint sur 40m.</a:t>
          </a:r>
        </a:p>
        <a:p>
          <a:pPr algn="ctr"/>
          <a:r>
            <a:rPr lang="fr-FR" sz="1100" u="none" baseline="0">
              <a:solidFill>
                <a:sysClr val="windowText" lastClr="000000"/>
              </a:solidFill>
            </a:rPr>
            <a:t>La fiabilité des prise de performance avec un Iphone pouvant filmer à 240i/s</a:t>
          </a:r>
        </a:p>
        <a:p>
          <a:pPr algn="ctr"/>
          <a:r>
            <a:rPr lang="fr-FR" sz="1100" u="none" baseline="0">
              <a:solidFill>
                <a:sysClr val="windowText" lastClr="000000"/>
              </a:solidFill>
            </a:rPr>
            <a:t>a été vérifiée en les comparant à un radar et à des cellules photo-électriques.</a:t>
          </a:r>
        </a:p>
        <a:p>
          <a:pPr algn="ctr"/>
          <a:r>
            <a:rPr lang="fr-FR" sz="1100" u="none" baseline="0">
              <a:solidFill>
                <a:sysClr val="windowText" lastClr="000000"/>
              </a:solidFill>
            </a:rPr>
            <a:t>(Romero-Franco et al., 2016)</a:t>
          </a:r>
        </a:p>
        <a:p>
          <a:pPr algn="ctr"/>
          <a:endParaRPr lang="fr-FR" sz="1100" u="sng">
            <a:solidFill>
              <a:sysClr val="windowText" lastClr="000000"/>
            </a:solidFill>
          </a:endParaRPr>
        </a:p>
        <a:p>
          <a:pPr algn="ctr"/>
          <a:r>
            <a:rPr lang="fr-FR" sz="1100" u="sng">
              <a:solidFill>
                <a:sysClr val="windowText" lastClr="000000"/>
              </a:solidFill>
            </a:rPr>
            <a:t>Placement</a:t>
          </a:r>
          <a:r>
            <a:rPr lang="fr-FR" sz="1100">
              <a:solidFill>
                <a:sysClr val="windowText" lastClr="000000"/>
              </a:solidFill>
            </a:rPr>
            <a:t> de</a:t>
          </a:r>
          <a:r>
            <a:rPr lang="fr-FR" sz="1100" b="1">
              <a:solidFill>
                <a:sysClr val="windowText" lastClr="000000"/>
              </a:solidFill>
            </a:rPr>
            <a:t> la tablette</a:t>
          </a:r>
          <a:r>
            <a:rPr lang="fr-FR" sz="1100" b="1" baseline="0">
              <a:solidFill>
                <a:sysClr val="windowText" lastClr="000000"/>
              </a:solidFill>
            </a:rPr>
            <a:t> à 18m du couloir et à 20m du départ</a:t>
          </a:r>
        </a:p>
        <a:p>
          <a:pPr algn="ctr"/>
          <a:r>
            <a:rPr lang="fr-FR" sz="1100" b="1" baseline="0">
              <a:solidFill>
                <a:sysClr val="windowText" lastClr="000000"/>
              </a:solidFill>
            </a:rPr>
            <a:t>Repères </a:t>
          </a:r>
          <a:r>
            <a:rPr lang="fr-FR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sous forme de batons verticaux à forte visibilité </a:t>
          </a:r>
          <a:r>
            <a:rPr lang="fr-FR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</a:t>
          </a:r>
          <a:r>
            <a:rPr lang="fr-FR" sz="1100" b="1" baseline="0">
              <a:solidFill>
                <a:sysClr val="windowText" lastClr="000000"/>
              </a:solidFill>
            </a:rPr>
            <a:t>lacés</a:t>
          </a:r>
        </a:p>
        <a:p>
          <a:pPr algn="ctr"/>
          <a:r>
            <a:rPr lang="fr-FR" sz="1100" b="1" baseline="0">
              <a:solidFill>
                <a:sysClr val="windowText" lastClr="000000"/>
              </a:solidFill>
            </a:rPr>
            <a:t>à 39,36m </a:t>
          </a:r>
          <a:r>
            <a:rPr lang="fr-FR" sz="1100" b="0" baseline="0">
              <a:solidFill>
                <a:sysClr val="windowText" lastClr="000000"/>
              </a:solidFill>
            </a:rPr>
            <a:t>(-0,64m) pour 40m</a:t>
          </a:r>
          <a:r>
            <a:rPr lang="fr-FR" sz="1100" b="1" baseline="0">
              <a:solidFill>
                <a:sysClr val="windowText" lastClr="000000"/>
              </a:solidFill>
            </a:rPr>
            <a:t>, à 39,68m </a:t>
          </a:r>
          <a:r>
            <a:rPr lang="fr-FR" sz="1100" b="0" baseline="0">
              <a:solidFill>
                <a:sysClr val="windowText" lastClr="000000"/>
              </a:solidFill>
            </a:rPr>
            <a:t>(-0,32m)</a:t>
          </a:r>
          <a:r>
            <a:rPr lang="fr-FR" sz="1100" b="1" baseline="0">
              <a:solidFill>
                <a:sysClr val="windowText" lastClr="000000"/>
              </a:solidFill>
            </a:rPr>
            <a:t> </a:t>
          </a:r>
          <a:r>
            <a:rPr lang="fr-FR" sz="1100" b="0" baseline="0">
              <a:solidFill>
                <a:sysClr val="windowText" lastClr="000000"/>
              </a:solidFill>
            </a:rPr>
            <a:t>pour 30m,</a:t>
          </a:r>
        </a:p>
        <a:p>
          <a:pPr algn="ctr"/>
          <a:r>
            <a:rPr lang="fr-FR" sz="1100" b="1" baseline="0">
              <a:solidFill>
                <a:sysClr val="windowText" lastClr="000000"/>
              </a:solidFill>
            </a:rPr>
            <a:t>à 15,49m </a:t>
          </a:r>
          <a:r>
            <a:rPr lang="fr-FR" sz="1100" b="0" baseline="0">
              <a:solidFill>
                <a:sysClr val="windowText" lastClr="000000"/>
              </a:solidFill>
            </a:rPr>
            <a:t>(+0,49m) pour 15m et  </a:t>
          </a:r>
          <a:r>
            <a:rPr lang="fr-FR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à 10,32m </a:t>
          </a:r>
          <a:r>
            <a:rPr lang="fr-FR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(+0,32m) pour 10m </a:t>
          </a:r>
          <a:r>
            <a:rPr lang="fr-FR" sz="1100" b="1" baseline="0">
              <a:solidFill>
                <a:sysClr val="windowText" lastClr="000000"/>
              </a:solidFill>
            </a:rPr>
            <a:t>.</a:t>
          </a:r>
          <a:endParaRPr lang="fr-FR" sz="1100" b="1">
            <a:solidFill>
              <a:sysClr val="windowText" lastClr="000000"/>
            </a:solidFill>
          </a:endParaRPr>
        </a:p>
        <a:p>
          <a:endParaRPr lang="fr-FR" sz="1100" b="1">
            <a:solidFill>
              <a:sysClr val="windowText" lastClr="000000"/>
            </a:solidFill>
          </a:endParaRPr>
        </a:p>
        <a:p>
          <a:pPr algn="ctr"/>
          <a:r>
            <a:rPr lang="fr-FR" sz="1100" b="1">
              <a:solidFill>
                <a:sysClr val="windowText" lastClr="000000"/>
              </a:solidFill>
            </a:rPr>
            <a:t>Sous Androïd,</a:t>
          </a:r>
          <a:r>
            <a:rPr lang="fr-FR" sz="1100" b="1" baseline="0">
              <a:solidFill>
                <a:sysClr val="windowText" lastClr="000000"/>
              </a:solidFill>
            </a:rPr>
            <a:t> l</a:t>
          </a:r>
          <a:r>
            <a:rPr lang="fr-FR" sz="1100" b="1">
              <a:solidFill>
                <a:sysClr val="windowText" lastClr="000000"/>
              </a:solidFill>
            </a:rPr>
            <a:t>es applications Coach's eye (SDK GoPro) ou Seconds Count</a:t>
          </a:r>
          <a:r>
            <a:rPr lang="fr-FR" sz="1100" b="1" baseline="0">
              <a:solidFill>
                <a:sysClr val="windowText" lastClr="000000"/>
              </a:solidFill>
            </a:rPr>
            <a:t> </a:t>
          </a:r>
          <a:r>
            <a:rPr lang="fr-FR" sz="1100" b="0" baseline="0">
              <a:solidFill>
                <a:sysClr val="windowText" lastClr="000000"/>
              </a:solidFill>
            </a:rPr>
            <a:t>(également sous IOS) </a:t>
          </a:r>
        </a:p>
        <a:p>
          <a:pPr algn="ctr"/>
          <a:r>
            <a:rPr lang="fr-FR" sz="1100" b="0" baseline="0">
              <a:solidFill>
                <a:sysClr val="windowText" lastClr="000000"/>
              </a:solidFill>
            </a:rPr>
            <a:t>sont conseillées, car elles intègrent une fonction de chronométrage</a:t>
          </a:r>
          <a:r>
            <a:rPr lang="fr-FR" sz="1100" b="1" baseline="0">
              <a:solidFill>
                <a:sysClr val="windowText" lastClr="000000"/>
              </a:solidFill>
            </a:rPr>
            <a:t>.</a:t>
          </a:r>
        </a:p>
        <a:p>
          <a:pPr algn="ctr"/>
          <a:r>
            <a:rPr lang="fr-FR" sz="1100" b="0" baseline="0">
              <a:solidFill>
                <a:sysClr val="windowText" lastClr="000000"/>
              </a:solidFill>
            </a:rPr>
            <a:t>Il possible d'utiliser </a:t>
          </a:r>
          <a:r>
            <a:rPr lang="fr-FR" sz="1100" b="1" baseline="0">
              <a:solidFill>
                <a:sysClr val="windowText" lastClr="000000"/>
              </a:solidFill>
            </a:rPr>
            <a:t>l'application "Appareil photo" </a:t>
          </a:r>
          <a:r>
            <a:rPr lang="fr-FR" sz="1100" b="0" baseline="0">
              <a:solidFill>
                <a:sysClr val="windowText" lastClr="000000"/>
              </a:solidFill>
            </a:rPr>
            <a:t>et de transfert les vidéos</a:t>
          </a:r>
          <a:endParaRPr lang="fr-FR" sz="1100" b="0">
            <a:solidFill>
              <a:sysClr val="windowText" lastClr="000000"/>
            </a:solidFill>
          </a:endParaRPr>
        </a:p>
        <a:p>
          <a:pPr algn="ctr"/>
          <a:r>
            <a:rPr lang="fr-FR" sz="1100">
              <a:solidFill>
                <a:sysClr val="windowText" lastClr="000000"/>
              </a:solidFill>
            </a:rPr>
            <a:t>      vers l'appication </a:t>
          </a:r>
          <a:r>
            <a:rPr lang="fr-FR" sz="1100" b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Coach's eye </a:t>
          </a:r>
          <a:r>
            <a:rPr lang="fr-FR" sz="1100" baseline="0">
              <a:solidFill>
                <a:sysClr val="windowText" lastClr="000000"/>
              </a:solidFill>
            </a:rPr>
            <a:t>sur la tablette ou </a:t>
          </a:r>
          <a:r>
            <a:rPr lang="fr-FR" sz="1100" b="1" baseline="0">
              <a:solidFill>
                <a:sysClr val="windowText" lastClr="000000"/>
              </a:solidFill>
            </a:rPr>
            <a:t>Kinovea</a:t>
          </a:r>
          <a:r>
            <a:rPr lang="fr-FR" sz="1100" baseline="0">
              <a:solidFill>
                <a:sysClr val="windowText" lastClr="000000"/>
              </a:solidFill>
            </a:rPr>
            <a:t> sous windows.</a:t>
          </a:r>
        </a:p>
        <a:p>
          <a:pPr algn="ctr"/>
          <a:endParaRPr lang="fr-FR" sz="1100" baseline="0">
            <a:solidFill>
              <a:sysClr val="windowText" lastClr="000000"/>
            </a:solidFill>
          </a:endParaRPr>
        </a:p>
        <a:p>
          <a:pPr algn="ctr"/>
          <a:r>
            <a:rPr lang="fr-FR" sz="1100" b="1">
              <a:solidFill>
                <a:sysClr val="windowText" lastClr="000000"/>
              </a:solidFill>
            </a:rPr>
            <a:t>Départ des coureurs </a:t>
          </a:r>
          <a:r>
            <a:rPr lang="fr-FR" sz="1100">
              <a:solidFill>
                <a:sysClr val="windowText" lastClr="000000"/>
              </a:solidFill>
            </a:rPr>
            <a:t>les uns après les autres aux ordres</a:t>
          </a:r>
          <a:r>
            <a:rPr lang="fr-FR" sz="1100" baseline="0">
              <a:solidFill>
                <a:sysClr val="windowText" lastClr="000000"/>
              </a:solidFill>
            </a:rPr>
            <a:t> du starter</a:t>
          </a:r>
          <a:r>
            <a:rPr lang="fr-FR" sz="1100">
              <a:solidFill>
                <a:sysClr val="windowText" lastClr="000000"/>
              </a:solidFill>
            </a:rPr>
            <a:t>.</a:t>
          </a:r>
        </a:p>
        <a:p>
          <a:pPr algn="ctr"/>
          <a:r>
            <a:rPr lang="fr-FR" sz="1100">
              <a:solidFill>
                <a:sysClr val="windowText" lastClr="000000"/>
              </a:solidFill>
            </a:rPr>
            <a:t>Les élèves peuvent se placer en colonne pour faciliter l'organisation.</a:t>
          </a:r>
        </a:p>
        <a:p>
          <a:pPr algn="ctr"/>
          <a:endParaRPr lang="fr-FR" sz="1100">
            <a:solidFill>
              <a:sysClr val="windowText" lastClr="000000"/>
            </a:solidFill>
          </a:endParaRPr>
        </a:p>
        <a:p>
          <a:pPr algn="ctr"/>
          <a:r>
            <a:rPr lang="fr-FR" sz="1100">
              <a:solidFill>
                <a:sysClr val="windowText" lastClr="000000"/>
              </a:solidFill>
            </a:rPr>
            <a:t>L'observateur </a:t>
          </a:r>
          <a:r>
            <a:rPr lang="fr-FR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place le coureur au milieu de l'écran tout au long de la course. </a:t>
          </a:r>
        </a:p>
        <a:p>
          <a:pPr algn="ctr"/>
          <a:r>
            <a:rPr lang="fr-FR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(L'usage de la grille de repères 3x3 permet un meilleur suivi)</a:t>
          </a:r>
          <a:endParaRPr lang="fr-RE">
            <a:effectLst/>
          </a:endParaRPr>
        </a:p>
        <a:p>
          <a:pPr algn="ctr"/>
          <a:r>
            <a:rPr lang="fr-FR" sz="1100">
              <a:solidFill>
                <a:sysClr val="windowText" lastClr="000000"/>
              </a:solidFill>
            </a:rPr>
            <a:t>Il commence à filmer dès</a:t>
          </a:r>
          <a:r>
            <a:rPr lang="fr-FR" sz="1100" baseline="0">
              <a:solidFill>
                <a:sysClr val="windowText" lastClr="000000"/>
              </a:solidFill>
            </a:rPr>
            <a:t> l'annonce des ordres de départ pour éviter de lancer la prise de vue en retard.</a:t>
          </a:r>
        </a:p>
        <a:p>
          <a:pPr algn="ctr"/>
          <a:r>
            <a:rPr lang="fr-FR" sz="1100" baseline="0">
              <a:solidFill>
                <a:sysClr val="windowText" lastClr="000000"/>
              </a:solidFill>
            </a:rPr>
            <a:t>Il arrête de filmer lorsque le coureur a largement dépassé la ligne d'arrivée.</a:t>
          </a:r>
        </a:p>
        <a:p>
          <a:pPr algn="ctr"/>
          <a:r>
            <a:rPr lang="fr-FR" sz="1100" baseline="0">
              <a:solidFill>
                <a:sysClr val="windowText" lastClr="000000"/>
              </a:solidFill>
            </a:rPr>
            <a:t>Il redirige la tablette vers le départ pour se préparer à filmer la nouvele course.</a:t>
          </a:r>
        </a:p>
        <a:p>
          <a:pPr algn="ctr"/>
          <a:r>
            <a:rPr lang="fr-FR" sz="1100" baseline="0">
              <a:solidFill>
                <a:sysClr val="windowText" lastClr="000000"/>
              </a:solidFill>
            </a:rPr>
            <a:t>Pour faire passer une classe de 30 élèves, il faut compter environ 15 à 25 minutes.</a:t>
          </a:r>
        </a:p>
        <a:p>
          <a:endParaRPr lang="fr-FR" sz="1100" baseline="0">
            <a:solidFill>
              <a:sysClr val="windowText" lastClr="000000"/>
            </a:solidFill>
          </a:endParaRPr>
        </a:p>
        <a:p>
          <a:r>
            <a:rPr lang="fr-FR" sz="1100" u="sng" baseline="0">
              <a:solidFill>
                <a:sysClr val="windowText" lastClr="000000"/>
              </a:solidFill>
            </a:rPr>
            <a:t>Possibilité d'analyser </a:t>
          </a:r>
          <a:r>
            <a:rPr lang="fr-FR" sz="1100" baseline="0">
              <a:solidFill>
                <a:sysClr val="windowText" lastClr="000000"/>
              </a:solidFill>
            </a:rPr>
            <a:t>:</a:t>
          </a:r>
        </a:p>
        <a:p>
          <a:r>
            <a:rPr lang="fr-FR" sz="1100" baseline="0">
              <a:solidFill>
                <a:sysClr val="windowText" lastClr="000000"/>
              </a:solidFill>
            </a:rPr>
            <a:t>	- les faux départ</a:t>
          </a:r>
        </a:p>
        <a:p>
          <a:r>
            <a:rPr lang="fr-FR" sz="1100" baseline="0">
              <a:solidFill>
                <a:sysClr val="windowText" lastClr="000000"/>
              </a:solidFill>
            </a:rPr>
            <a:t>	- l'attitude de course</a:t>
          </a:r>
        </a:p>
        <a:p>
          <a:r>
            <a:rPr lang="fr-FR" sz="1100" baseline="0">
              <a:solidFill>
                <a:sysClr val="windowText" lastClr="000000"/>
              </a:solidFill>
            </a:rPr>
            <a:t>	- la qualité du chronométrage manuel des élèves</a:t>
          </a:r>
        </a:p>
        <a:p>
          <a:r>
            <a:rPr lang="fr-FR" sz="1100" baseline="0">
              <a:solidFill>
                <a:sysClr val="windowText" lastClr="000000"/>
              </a:solidFill>
            </a:rPr>
            <a:t>	</a:t>
          </a:r>
          <a:endParaRPr lang="fr-FR" sz="1100" u="sng" baseline="0">
            <a:solidFill>
              <a:sysClr val="windowText" lastClr="000000"/>
            </a:solidFill>
          </a:endParaRPr>
        </a:p>
        <a:p>
          <a:r>
            <a:rPr lang="fr-FR" sz="1100" u="sng" baseline="0">
              <a:solidFill>
                <a:sysClr val="windowText" lastClr="000000"/>
              </a:solidFill>
            </a:rPr>
            <a:t>Conseil pour filmer:</a:t>
          </a:r>
        </a:p>
        <a:p>
          <a:r>
            <a:rPr lang="fr-FR" sz="1100">
              <a:solidFill>
                <a:sysClr val="windowText" lastClr="000000"/>
              </a:solidFill>
            </a:rPr>
            <a:t>	- Tablette posée sur un trépied ou un monopode</a:t>
          </a:r>
        </a:p>
        <a:p>
          <a:r>
            <a:rPr lang="fr-FR" sz="1100">
              <a:solidFill>
                <a:sysClr val="windowText" lastClr="000000"/>
              </a:solidFill>
            </a:rPr>
            <a:t>	- L'objectif de la tablette au plus près de l'axe de rotation </a:t>
          </a:r>
          <a:r>
            <a:rPr lang="fr-FR" sz="1100" baseline="0">
              <a:solidFill>
                <a:sysClr val="windowText" lastClr="000000"/>
              </a:solidFill>
            </a:rPr>
            <a:t>du trépied ou du monopode</a:t>
          </a:r>
          <a:endParaRPr lang="fr-FR" sz="1100">
            <a:solidFill>
              <a:sysClr val="windowText" lastClr="000000"/>
            </a:solidFill>
          </a:endParaRPr>
        </a:p>
      </xdr:txBody>
    </xdr:sp>
    <xdr:clientData/>
  </xdr:oneCellAnchor>
  <xdr:oneCellAnchor>
    <xdr:from>
      <xdr:col>11</xdr:col>
      <xdr:colOff>111238</xdr:colOff>
      <xdr:row>17</xdr:row>
      <xdr:rowOff>98987</xdr:rowOff>
    </xdr:from>
    <xdr:ext cx="4289311" cy="4723383"/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A6A17822-50D8-4445-A6FA-8B918CB35658}"/>
            </a:ext>
          </a:extLst>
        </xdr:cNvPr>
        <xdr:cNvSpPr txBox="1"/>
      </xdr:nvSpPr>
      <xdr:spPr>
        <a:xfrm>
          <a:off x="7969363" y="3499412"/>
          <a:ext cx="4289311" cy="4723383"/>
        </a:xfrm>
        <a:prstGeom prst="rect">
          <a:avLst/>
        </a:prstGeom>
        <a:gradFill>
          <a:gsLst>
            <a:gs pos="0">
              <a:schemeClr val="tx2">
                <a:lumMod val="20000"/>
                <a:lumOff val="80000"/>
              </a:schemeClr>
            </a:gs>
            <a:gs pos="99000">
              <a:schemeClr val="bg1"/>
            </a:gs>
          </a:gsLst>
          <a:lin ang="16200000" scaled="1"/>
        </a:gradFill>
        <a:ln>
          <a:solidFill>
            <a:schemeClr val="tx2">
              <a:lumMod val="60000"/>
              <a:lumOff val="4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u="sng"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Chronométrage individuel</a:t>
          </a:r>
          <a:r>
            <a:rPr lang="fr-FR" sz="1100" b="1" u="sng" baseline="0"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</a:t>
          </a:r>
          <a:r>
            <a:rPr lang="fr-FR" sz="1100" b="1" u="sng"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du  10m, 15m, 30m et 40m en une course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u="sng"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(Suite)</a:t>
          </a:r>
          <a:endParaRPr lang="fr-RE" b="1">
            <a:effectLst/>
          </a:endParaRPr>
        </a:p>
        <a:p>
          <a:pPr algn="ctr"/>
          <a:endParaRPr lang="fr-FR" sz="1100" u="sng">
            <a:solidFill>
              <a:sysClr val="windowText" lastClr="000000"/>
            </a:solidFill>
          </a:endParaRPr>
        </a:p>
        <a:p>
          <a:pPr algn="ctr"/>
          <a:r>
            <a:rPr lang="fr-FR" sz="1100" u="sng">
              <a:solidFill>
                <a:sysClr val="windowText" lastClr="000000"/>
              </a:solidFill>
            </a:rPr>
            <a:t>Chronométrage des temps des coureurs</a:t>
          </a:r>
        </a:p>
        <a:p>
          <a:pPr algn="ctr"/>
          <a:endParaRPr lang="fr-FR" sz="1100" u="sng">
            <a:solidFill>
              <a:sysClr val="windowText" lastClr="000000"/>
            </a:solidFill>
          </a:endParaRPr>
        </a:p>
        <a:p>
          <a:pPr algn="ctr"/>
          <a:r>
            <a:rPr lang="fr-FR" sz="1100" u="none">
              <a:solidFill>
                <a:sysClr val="windowText" lastClr="000000"/>
              </a:solidFill>
            </a:rPr>
            <a:t>Le démarage</a:t>
          </a:r>
          <a:r>
            <a:rPr lang="fr-FR" sz="1100" u="none" baseline="0">
              <a:solidFill>
                <a:sysClr val="windowText" lastClr="000000"/>
              </a:solidFill>
            </a:rPr>
            <a:t> du chronomètre virtuel se fait lors</a:t>
          </a:r>
        </a:p>
        <a:p>
          <a:pPr algn="ctr"/>
          <a:r>
            <a:rPr lang="fr-FR" sz="1100" u="none" baseline="0">
              <a:solidFill>
                <a:sysClr val="windowText" lastClr="000000"/>
              </a:solidFill>
            </a:rPr>
            <a:t>du début du mouvement de poussée vers l'avant du coureur.</a:t>
          </a:r>
        </a:p>
        <a:p>
          <a:pPr algn="ctr"/>
          <a:r>
            <a:rPr lang="fr-FR" sz="1100" u="none" baseline="0">
              <a:solidFill>
                <a:sysClr val="windowText" lastClr="000000"/>
              </a:solidFill>
            </a:rPr>
            <a:t>Ce point est important, car il impacte direct sur</a:t>
          </a:r>
        </a:p>
        <a:p>
          <a:pPr algn="ctr"/>
          <a:r>
            <a:rPr lang="fr-FR" sz="1100" u="none" baseline="0">
              <a:solidFill>
                <a:sysClr val="windowText" lastClr="000000"/>
              </a:solidFill>
            </a:rPr>
            <a:t>la précision des temps relevés.</a:t>
          </a:r>
        </a:p>
        <a:p>
          <a:pPr algn="ctr"/>
          <a:r>
            <a:rPr lang="fr-FR" sz="1100" u="none" baseline="0">
              <a:solidFill>
                <a:sysClr val="windowText" lastClr="000000"/>
              </a:solidFill>
            </a:rPr>
            <a:t>Les temps de </a:t>
          </a:r>
          <a:r>
            <a:rPr lang="fr-FR" sz="1100" u="none">
              <a:solidFill>
                <a:sysClr val="windowText" lastClr="000000"/>
              </a:solidFill>
            </a:rPr>
            <a:t>passage sont</a:t>
          </a:r>
          <a:r>
            <a:rPr lang="fr-FR" sz="1100" u="none" baseline="0">
              <a:solidFill>
                <a:sysClr val="windowText" lastClr="000000"/>
              </a:solidFill>
            </a:rPr>
            <a:t> déterminé </a:t>
          </a:r>
        </a:p>
        <a:p>
          <a:pPr algn="ctr"/>
          <a:r>
            <a:rPr lang="fr-FR" sz="1100" u="none" baseline="0">
              <a:solidFill>
                <a:sysClr val="windowText" lastClr="000000"/>
              </a:solidFill>
            </a:rPr>
            <a:t>par le passage du milieu du bassin au niveau du plot.</a:t>
          </a:r>
        </a:p>
        <a:p>
          <a:pPr algn="ctr"/>
          <a:r>
            <a:rPr lang="fr-FR" sz="1100" u="none" baseline="0">
              <a:solidFill>
                <a:sysClr val="windowText" lastClr="000000"/>
              </a:solidFill>
            </a:rPr>
            <a:t>La précision du chronométrage au 1/10e semble fiable</a:t>
          </a:r>
        </a:p>
        <a:p>
          <a:pPr algn="ctr"/>
          <a:r>
            <a:rPr lang="fr-FR" sz="1100" u="none" baseline="0">
              <a:solidFill>
                <a:sysClr val="windowText" lastClr="000000"/>
              </a:solidFill>
            </a:rPr>
            <a:t>(comparaiée aux résultats avec Sprinttimer).</a:t>
          </a:r>
        </a:p>
        <a:p>
          <a:pPr algn="ctr"/>
          <a:endParaRPr lang="fr-FR" sz="1100" u="none" baseline="0">
            <a:solidFill>
              <a:sysClr val="windowText" lastClr="000000"/>
            </a:solidFill>
          </a:endParaRPr>
        </a:p>
        <a:p>
          <a:pPr algn="ctr"/>
          <a:endParaRPr lang="fr-FR" sz="1100" u="none" baseline="0">
            <a:solidFill>
              <a:sysClr val="windowText" lastClr="000000"/>
            </a:solidFill>
          </a:endParaRPr>
        </a:p>
        <a:p>
          <a:pPr algn="ctr"/>
          <a:endParaRPr lang="fr-FR" sz="1100" u="none" baseline="0">
            <a:solidFill>
              <a:sysClr val="windowText" lastClr="000000"/>
            </a:solidFill>
          </a:endParaRPr>
        </a:p>
        <a:p>
          <a:pPr algn="ctr"/>
          <a:endParaRPr lang="fr-FR" sz="1100" u="none" baseline="0">
            <a:solidFill>
              <a:sysClr val="windowText" lastClr="000000"/>
            </a:solidFill>
          </a:endParaRPr>
        </a:p>
        <a:p>
          <a:pPr algn="ctr"/>
          <a:endParaRPr lang="fr-FR" sz="1100" u="none" baseline="0">
            <a:solidFill>
              <a:sysClr val="windowText" lastClr="000000"/>
            </a:solidFill>
          </a:endParaRPr>
        </a:p>
        <a:p>
          <a:pPr algn="ctr"/>
          <a:endParaRPr lang="fr-FR" sz="1100" u="none" baseline="0">
            <a:solidFill>
              <a:sysClr val="windowText" lastClr="000000"/>
            </a:solidFill>
          </a:endParaRPr>
        </a:p>
        <a:p>
          <a:pPr algn="ctr"/>
          <a:endParaRPr lang="fr-FR" sz="1100" u="none" baseline="0">
            <a:solidFill>
              <a:sysClr val="windowText" lastClr="000000"/>
            </a:solidFill>
          </a:endParaRPr>
        </a:p>
        <a:p>
          <a:pPr algn="ctr"/>
          <a:endParaRPr lang="fr-FR" sz="1100" u="none" baseline="0">
            <a:solidFill>
              <a:sysClr val="windowText" lastClr="000000"/>
            </a:solidFill>
          </a:endParaRPr>
        </a:p>
        <a:p>
          <a:pPr algn="ctr"/>
          <a:endParaRPr lang="fr-FR" sz="1100" u="none" baseline="0">
            <a:solidFill>
              <a:sysClr val="windowText" lastClr="000000"/>
            </a:solidFill>
          </a:endParaRPr>
        </a:p>
        <a:p>
          <a:pPr algn="ctr"/>
          <a:endParaRPr lang="fr-FR" sz="1100" u="none" baseline="0">
            <a:solidFill>
              <a:sysClr val="windowText" lastClr="000000"/>
            </a:solidFill>
          </a:endParaRPr>
        </a:p>
        <a:p>
          <a:pPr algn="ctr"/>
          <a:endParaRPr lang="fr-FR" sz="1100" u="none" baseline="0">
            <a:solidFill>
              <a:sysClr val="windowText" lastClr="000000"/>
            </a:solidFill>
          </a:endParaRPr>
        </a:p>
        <a:p>
          <a:pPr algn="ctr"/>
          <a:endParaRPr lang="fr-FR" sz="1100" u="none" baseline="0">
            <a:solidFill>
              <a:sysClr val="windowText" lastClr="000000"/>
            </a:solidFill>
          </a:endParaRPr>
        </a:p>
        <a:p>
          <a:pPr algn="ctr"/>
          <a:endParaRPr lang="fr-FR" sz="1100" u="none" baseline="0">
            <a:solidFill>
              <a:sysClr val="windowText" lastClr="000000"/>
            </a:solidFill>
          </a:endParaRPr>
        </a:p>
        <a:p>
          <a:pPr algn="ctr"/>
          <a:endParaRPr lang="fr-FR" sz="1100" u="none" baseline="0">
            <a:solidFill>
              <a:sysClr val="windowText" lastClr="000000"/>
            </a:solidFill>
          </a:endParaRPr>
        </a:p>
      </xdr:txBody>
    </xdr:sp>
    <xdr:clientData/>
  </xdr:oneCellAnchor>
  <xdr:twoCellAnchor editAs="oneCell">
    <xdr:from>
      <xdr:col>12</xdr:col>
      <xdr:colOff>10181</xdr:colOff>
      <xdr:row>31</xdr:row>
      <xdr:rowOff>37512</xdr:rowOff>
    </xdr:from>
    <xdr:to>
      <xdr:col>13</xdr:col>
      <xdr:colOff>654991</xdr:colOff>
      <xdr:row>40</xdr:row>
      <xdr:rowOff>189679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A7BBED3-B378-4FAA-9605-62C252232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82681" y="6104937"/>
          <a:ext cx="1359185" cy="1866667"/>
        </a:xfrm>
        <a:prstGeom prst="rect">
          <a:avLst/>
        </a:prstGeom>
      </xdr:spPr>
    </xdr:pic>
    <xdr:clientData/>
  </xdr:twoCellAnchor>
  <xdr:twoCellAnchor editAs="oneCell">
    <xdr:from>
      <xdr:col>14</xdr:col>
      <xdr:colOff>275543</xdr:colOff>
      <xdr:row>30</xdr:row>
      <xdr:rowOff>11907</xdr:rowOff>
    </xdr:from>
    <xdr:to>
      <xdr:col>16</xdr:col>
      <xdr:colOff>303937</xdr:colOff>
      <xdr:row>42</xdr:row>
      <xdr:rowOff>2097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80FDC73-6C0F-45D4-9B82-F0B266A4B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76793" y="5888832"/>
          <a:ext cx="1457144" cy="2276190"/>
        </a:xfrm>
        <a:prstGeom prst="rect">
          <a:avLst/>
        </a:prstGeom>
      </xdr:spPr>
    </xdr:pic>
    <xdr:clientData/>
  </xdr:twoCellAnchor>
  <xdr:twoCellAnchor>
    <xdr:from>
      <xdr:col>11</xdr:col>
      <xdr:colOff>515371</xdr:colOff>
      <xdr:row>5</xdr:row>
      <xdr:rowOff>166176</xdr:rowOff>
    </xdr:from>
    <xdr:to>
      <xdr:col>12</xdr:col>
      <xdr:colOff>377598</xdr:colOff>
      <xdr:row>7</xdr:row>
      <xdr:rowOff>23301</xdr:rowOff>
    </xdr:to>
    <xdr:sp macro="" textlink="">
      <xdr:nvSpPr>
        <xdr:cNvPr id="10" name="Rectangle : coins arrondis 9">
          <a:extLst>
            <a:ext uri="{FF2B5EF4-FFF2-40B4-BE49-F238E27FC236}">
              <a16:creationId xmlns:a16="http://schemas.microsoft.com/office/drawing/2014/main" id="{0B021F7D-AD86-4CF1-B629-3E7400A3B0A4}"/>
            </a:ext>
          </a:extLst>
        </xdr:cNvPr>
        <xdr:cNvSpPr/>
      </xdr:nvSpPr>
      <xdr:spPr>
        <a:xfrm>
          <a:off x="8373496" y="1280601"/>
          <a:ext cx="576602" cy="238125"/>
        </a:xfrm>
        <a:prstGeom prst="roundRect">
          <a:avLst/>
        </a:prstGeom>
        <a:solidFill>
          <a:schemeClr val="bg1"/>
        </a:solidFill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ctr"/>
        <a:lstStyle/>
        <a:p>
          <a:pPr algn="ctr"/>
          <a:r>
            <a:rPr lang="fr-FR" sz="1000" b="1"/>
            <a:t>15m</a:t>
          </a:r>
        </a:p>
      </xdr:txBody>
    </xdr:sp>
    <xdr:clientData/>
  </xdr:twoCellAnchor>
  <xdr:twoCellAnchor>
    <xdr:from>
      <xdr:col>8</xdr:col>
      <xdr:colOff>137093</xdr:colOff>
      <xdr:row>5</xdr:row>
      <xdr:rowOff>166176</xdr:rowOff>
    </xdr:from>
    <xdr:to>
      <xdr:col>9</xdr:col>
      <xdr:colOff>6124</xdr:colOff>
      <xdr:row>7</xdr:row>
      <xdr:rowOff>23301</xdr:rowOff>
    </xdr:to>
    <xdr:sp macro="" textlink="">
      <xdr:nvSpPr>
        <xdr:cNvPr id="11" name="Rectangle : coins arrondis 10">
          <a:extLst>
            <a:ext uri="{FF2B5EF4-FFF2-40B4-BE49-F238E27FC236}">
              <a16:creationId xmlns:a16="http://schemas.microsoft.com/office/drawing/2014/main" id="{FD31DD54-CD40-4347-86A7-EE389196D41E}"/>
            </a:ext>
          </a:extLst>
        </xdr:cNvPr>
        <xdr:cNvSpPr/>
      </xdr:nvSpPr>
      <xdr:spPr>
        <a:xfrm>
          <a:off x="5852093" y="1280601"/>
          <a:ext cx="583406" cy="238125"/>
        </a:xfrm>
        <a:prstGeom prst="roundRect">
          <a:avLst/>
        </a:prstGeom>
        <a:solidFill>
          <a:schemeClr val="bg1"/>
        </a:solidFill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ctr"/>
        <a:lstStyle/>
        <a:p>
          <a:pPr algn="ctr"/>
          <a:r>
            <a:rPr lang="fr-FR" sz="1000" b="1"/>
            <a:t>30m</a:t>
          </a:r>
        </a:p>
      </xdr:txBody>
    </xdr:sp>
    <xdr:clientData/>
  </xdr:twoCellAnchor>
  <xdr:twoCellAnchor>
    <xdr:from>
      <xdr:col>6</xdr:col>
      <xdr:colOff>202748</xdr:colOff>
      <xdr:row>5</xdr:row>
      <xdr:rowOff>166176</xdr:rowOff>
    </xdr:from>
    <xdr:to>
      <xdr:col>7</xdr:col>
      <xdr:colOff>71778</xdr:colOff>
      <xdr:row>7</xdr:row>
      <xdr:rowOff>23301</xdr:rowOff>
    </xdr:to>
    <xdr:sp macro="" textlink="">
      <xdr:nvSpPr>
        <xdr:cNvPr id="12" name="Rectangle : coins arrondis 11">
          <a:extLst>
            <a:ext uri="{FF2B5EF4-FFF2-40B4-BE49-F238E27FC236}">
              <a16:creationId xmlns:a16="http://schemas.microsoft.com/office/drawing/2014/main" id="{BEDAB79B-7590-438B-85F3-768005EFDE99}"/>
            </a:ext>
          </a:extLst>
        </xdr:cNvPr>
        <xdr:cNvSpPr/>
      </xdr:nvSpPr>
      <xdr:spPr>
        <a:xfrm>
          <a:off x="4488998" y="1280601"/>
          <a:ext cx="583405" cy="238125"/>
        </a:xfrm>
        <a:prstGeom prst="roundRect">
          <a:avLst/>
        </a:prstGeom>
        <a:solidFill>
          <a:schemeClr val="bg1"/>
        </a:solidFill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ctr"/>
        <a:lstStyle/>
        <a:p>
          <a:pPr algn="ctr"/>
          <a:r>
            <a:rPr lang="fr-FR" sz="1000" b="1"/>
            <a:t>40m</a:t>
          </a:r>
        </a:p>
      </xdr:txBody>
    </xdr:sp>
    <xdr:clientData/>
  </xdr:twoCellAnchor>
  <xdr:twoCellAnchor>
    <xdr:from>
      <xdr:col>17</xdr:col>
      <xdr:colOff>299359</xdr:colOff>
      <xdr:row>48</xdr:row>
      <xdr:rowOff>122463</xdr:rowOff>
    </xdr:from>
    <xdr:to>
      <xdr:col>23</xdr:col>
      <xdr:colOff>549391</xdr:colOff>
      <xdr:row>56</xdr:row>
      <xdr:rowOff>136070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D2BDAC6B-BFEA-4F43-8792-8395F5F81345}"/>
            </a:ext>
          </a:extLst>
        </xdr:cNvPr>
        <xdr:cNvSpPr/>
      </xdr:nvSpPr>
      <xdr:spPr>
        <a:xfrm>
          <a:off x="12443734" y="9428388"/>
          <a:ext cx="4536282" cy="1537607"/>
        </a:xfrm>
        <a:prstGeom prst="rect">
          <a:avLst/>
        </a:prstGeom>
        <a:gradFill flip="none" rotWithShape="1">
          <a:gsLst>
            <a:gs pos="0">
              <a:srgbClr val="FF0000">
                <a:tint val="66000"/>
                <a:satMod val="160000"/>
              </a:srgbClr>
            </a:gs>
            <a:gs pos="50000">
              <a:srgbClr val="FF0000">
                <a:tint val="44500"/>
                <a:satMod val="160000"/>
              </a:srgbClr>
            </a:gs>
            <a:gs pos="100000">
              <a:srgbClr val="FF0000">
                <a:tint val="23500"/>
                <a:satMod val="160000"/>
              </a:srgbClr>
            </a:gs>
          </a:gsLst>
          <a:path path="circle">
            <a:fillToRect l="100000" t="100000"/>
          </a:path>
          <a:tileRect r="-100000" b="-100000"/>
        </a:gradFill>
        <a:ln>
          <a:solidFill>
            <a:schemeClr val="accent6">
              <a:lumMod val="40000"/>
              <a:lumOff val="6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fr-FR" sz="1100" b="1" u="sng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Chronométrage manuel et chronométrage electronique</a:t>
          </a:r>
        </a:p>
        <a:p>
          <a:pPr algn="ctr"/>
          <a:endParaRPr lang="fr-FR" sz="1100" b="0" u="sng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r>
            <a:rPr lang="fr-R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Stastiquement en France (D. LAMARE, années</a:t>
          </a:r>
          <a:r>
            <a:rPr lang="fr-R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70)</a:t>
          </a:r>
          <a:r>
            <a:rPr lang="fr-R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fr-R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</a:t>
          </a:r>
          <a:r>
            <a:rPr lang="fr-R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 temps de réaction moyen d'un chronométreur manuel est de 240 millièmes de seconde.</a:t>
          </a:r>
          <a:r>
            <a:rPr lang="fr-R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Donc, un temps manuel sera plus petit qu'un temps életronique. De ce fait, le temps d'un coureur sur </a:t>
          </a:r>
          <a:r>
            <a:rPr lang="fr-R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son 100m en 11'0 manuel </a:t>
          </a:r>
          <a:r>
            <a:rPr lang="fr-R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(déclenchement à la fumée ou la flamme du pistolet) </a:t>
          </a:r>
          <a:r>
            <a:rPr lang="fr-R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 considéré comme identique à celui d'un coureur qui a un temps de 11"24 électronique</a:t>
          </a:r>
          <a:r>
            <a:rPr lang="fr-R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RE">
            <a:effectLst/>
          </a:endParaRPr>
        </a:p>
        <a:p>
          <a:pPr algn="ctr"/>
          <a:endParaRPr lang="fr-FR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12</xdr:col>
      <xdr:colOff>681378</xdr:colOff>
      <xdr:row>5</xdr:row>
      <xdr:rowOff>166176</xdr:rowOff>
    </xdr:from>
    <xdr:to>
      <xdr:col>13</xdr:col>
      <xdr:colOff>543606</xdr:colOff>
      <xdr:row>7</xdr:row>
      <xdr:rowOff>23301</xdr:rowOff>
    </xdr:to>
    <xdr:sp macro="" textlink="">
      <xdr:nvSpPr>
        <xdr:cNvPr id="14" name="Rectangle : coins arrondis 13">
          <a:extLst>
            <a:ext uri="{FF2B5EF4-FFF2-40B4-BE49-F238E27FC236}">
              <a16:creationId xmlns:a16="http://schemas.microsoft.com/office/drawing/2014/main" id="{CC6B90E1-7E7A-4346-B9FF-FE77F2E93EBF}"/>
            </a:ext>
          </a:extLst>
        </xdr:cNvPr>
        <xdr:cNvSpPr/>
      </xdr:nvSpPr>
      <xdr:spPr>
        <a:xfrm>
          <a:off x="9253878" y="1280601"/>
          <a:ext cx="576603" cy="238125"/>
        </a:xfrm>
        <a:prstGeom prst="roundRect">
          <a:avLst/>
        </a:prstGeom>
        <a:solidFill>
          <a:schemeClr val="bg1"/>
        </a:solidFill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ctr"/>
        <a:lstStyle/>
        <a:p>
          <a:pPr algn="ctr"/>
          <a:r>
            <a:rPr lang="fr-FR" sz="1000" b="1"/>
            <a:t>10m</a:t>
          </a:r>
        </a:p>
      </xdr:txBody>
    </xdr:sp>
    <xdr:clientData/>
  </xdr:twoCellAnchor>
  <xdr:twoCellAnchor>
    <xdr:from>
      <xdr:col>10</xdr:col>
      <xdr:colOff>216014</xdr:colOff>
      <xdr:row>13</xdr:row>
      <xdr:rowOff>31465</xdr:rowOff>
    </xdr:from>
    <xdr:to>
      <xdr:col>11</xdr:col>
      <xdr:colOff>78242</xdr:colOff>
      <xdr:row>14</xdr:row>
      <xdr:rowOff>79090</xdr:rowOff>
    </xdr:to>
    <xdr:sp macro="" textlink="">
      <xdr:nvSpPr>
        <xdr:cNvPr id="15" name="Rectangle : coins arrondis 14">
          <a:extLst>
            <a:ext uri="{FF2B5EF4-FFF2-40B4-BE49-F238E27FC236}">
              <a16:creationId xmlns:a16="http://schemas.microsoft.com/office/drawing/2014/main" id="{E0EBBAB8-48F2-4B10-9442-F81BBE8DC13A}"/>
            </a:ext>
          </a:extLst>
        </xdr:cNvPr>
        <xdr:cNvSpPr/>
      </xdr:nvSpPr>
      <xdr:spPr>
        <a:xfrm>
          <a:off x="7359764" y="2669890"/>
          <a:ext cx="576603" cy="238125"/>
        </a:xfrm>
        <a:prstGeom prst="roundRect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ctr"/>
        <a:lstStyle/>
        <a:p>
          <a:pPr algn="ctr"/>
          <a:r>
            <a:rPr lang="fr-FR" sz="1000" b="1">
              <a:solidFill>
                <a:sysClr val="windowText" lastClr="000000"/>
              </a:solidFill>
            </a:rPr>
            <a:t>20m</a:t>
          </a:r>
        </a:p>
      </xdr:txBody>
    </xdr:sp>
    <xdr:clientData/>
  </xdr:twoCellAnchor>
  <xdr:twoCellAnchor>
    <xdr:from>
      <xdr:col>15</xdr:col>
      <xdr:colOff>111239</xdr:colOff>
      <xdr:row>13</xdr:row>
      <xdr:rowOff>62761</xdr:rowOff>
    </xdr:from>
    <xdr:to>
      <xdr:col>15</xdr:col>
      <xdr:colOff>687842</xdr:colOff>
      <xdr:row>14</xdr:row>
      <xdr:rowOff>110386</xdr:rowOff>
    </xdr:to>
    <xdr:sp macro="" textlink="">
      <xdr:nvSpPr>
        <xdr:cNvPr id="16" name="Rectangle : coins arrondis 15">
          <a:extLst>
            <a:ext uri="{FF2B5EF4-FFF2-40B4-BE49-F238E27FC236}">
              <a16:creationId xmlns:a16="http://schemas.microsoft.com/office/drawing/2014/main" id="{C94E9202-AEF6-4C1E-81F8-709D9C314AFD}"/>
            </a:ext>
          </a:extLst>
        </xdr:cNvPr>
        <xdr:cNvSpPr/>
      </xdr:nvSpPr>
      <xdr:spPr>
        <a:xfrm>
          <a:off x="10826864" y="2701186"/>
          <a:ext cx="576603" cy="238125"/>
        </a:xfrm>
        <a:prstGeom prst="roundRect">
          <a:avLst/>
        </a:prstGeom>
        <a:solidFill>
          <a:schemeClr val="bg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ctr"/>
        <a:lstStyle/>
        <a:p>
          <a:pPr algn="ctr"/>
          <a:r>
            <a:rPr lang="fr-FR" sz="1000" b="1">
              <a:solidFill>
                <a:sysClr val="windowText" lastClr="000000"/>
              </a:solidFill>
            </a:rPr>
            <a:t>0m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314325</xdr:colOff>
      <xdr:row>9</xdr:row>
      <xdr:rowOff>142240</xdr:rowOff>
    </xdr:from>
    <xdr:to>
      <xdr:col>14</xdr:col>
      <xdr:colOff>409575</xdr:colOff>
      <xdr:row>10</xdr:row>
      <xdr:rowOff>189865</xdr:rowOff>
    </xdr:to>
    <xdr:sp macro="" textlink="">
      <xdr:nvSpPr>
        <xdr:cNvPr id="2" name="Parallélogramme 1">
          <a:extLst>
            <a:ext uri="{FF2B5EF4-FFF2-40B4-BE49-F238E27FC236}">
              <a16:creationId xmlns:a16="http://schemas.microsoft.com/office/drawing/2014/main" id="{830A70AC-8D30-457E-8440-0B8944BD8864}"/>
            </a:ext>
          </a:extLst>
        </xdr:cNvPr>
        <xdr:cNvSpPr/>
      </xdr:nvSpPr>
      <xdr:spPr>
        <a:xfrm>
          <a:off x="8886825" y="2018665"/>
          <a:ext cx="95250" cy="238125"/>
        </a:xfrm>
        <a:prstGeom prst="parallelogram">
          <a:avLst/>
        </a:prstGeom>
        <a:solidFill>
          <a:schemeClr val="tx1"/>
        </a:solidFill>
        <a:scene3d>
          <a:camera prst="orthographicFront">
            <a:rot lat="0" lon="10800000" rev="0"/>
          </a:camera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fr-FR"/>
        </a:p>
      </xdr:txBody>
    </xdr:sp>
    <xdr:clientData/>
  </xdr:twoCellAnchor>
  <xdr:twoCellAnchor>
    <xdr:from>
      <xdr:col>6</xdr:col>
      <xdr:colOff>0</xdr:colOff>
      <xdr:row>9</xdr:row>
      <xdr:rowOff>133350</xdr:rowOff>
    </xdr:from>
    <xdr:to>
      <xdr:col>19</xdr:col>
      <xdr:colOff>19050</xdr:colOff>
      <xdr:row>9</xdr:row>
      <xdr:rowOff>133350</xdr:rowOff>
    </xdr:to>
    <xdr:cxnSp macro="">
      <xdr:nvCxnSpPr>
        <xdr:cNvPr id="3" name="Line 83">
          <a:extLst>
            <a:ext uri="{FF2B5EF4-FFF2-40B4-BE49-F238E27FC236}">
              <a16:creationId xmlns:a16="http://schemas.microsoft.com/office/drawing/2014/main" id="{E257FF2C-4A55-462D-B4F2-C5587AF85EDE}"/>
            </a:ext>
          </a:extLst>
        </xdr:cNvPr>
        <xdr:cNvCxnSpPr/>
      </xdr:nvCxnSpPr>
      <xdr:spPr bwMode="auto">
        <a:xfrm>
          <a:off x="2857500" y="2009775"/>
          <a:ext cx="9305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scene3d>
          <a:camera prst="orthographicFront">
            <a:rot lat="0" lon="10800000" rev="0"/>
          </a:camera>
          <a:lightRig rig="threePt" dir="t"/>
        </a:scene3d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38100</xdr:colOff>
      <xdr:row>11</xdr:row>
      <xdr:rowOff>0</xdr:rowOff>
    </xdr:from>
    <xdr:to>
      <xdr:col>19</xdr:col>
      <xdr:colOff>28575</xdr:colOff>
      <xdr:row>11</xdr:row>
      <xdr:rowOff>10795</xdr:rowOff>
    </xdr:to>
    <xdr:cxnSp macro="">
      <xdr:nvCxnSpPr>
        <xdr:cNvPr id="4" name="Line 84">
          <a:extLst>
            <a:ext uri="{FF2B5EF4-FFF2-40B4-BE49-F238E27FC236}">
              <a16:creationId xmlns:a16="http://schemas.microsoft.com/office/drawing/2014/main" id="{9ADEDC17-39E2-4915-B175-91D89B92D82F}"/>
            </a:ext>
          </a:extLst>
        </xdr:cNvPr>
        <xdr:cNvCxnSpPr/>
      </xdr:nvCxnSpPr>
      <xdr:spPr bwMode="auto">
        <a:xfrm flipV="1">
          <a:off x="2895600" y="2257425"/>
          <a:ext cx="9277350" cy="1079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scene3d>
          <a:camera prst="orthographicFront">
            <a:rot lat="0" lon="10800000" rev="0"/>
          </a:camera>
          <a:lightRig rig="threePt" dir="t"/>
        </a:scene3d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247650</xdr:colOff>
      <xdr:row>8</xdr:row>
      <xdr:rowOff>152400</xdr:rowOff>
    </xdr:from>
    <xdr:to>
      <xdr:col>14</xdr:col>
      <xdr:colOff>457200</xdr:colOff>
      <xdr:row>9</xdr:row>
      <xdr:rowOff>135253</xdr:rowOff>
    </xdr:to>
    <xdr:grpSp>
      <xdr:nvGrpSpPr>
        <xdr:cNvPr id="5" name="Group 112">
          <a:extLst>
            <a:ext uri="{FF2B5EF4-FFF2-40B4-BE49-F238E27FC236}">
              <a16:creationId xmlns:a16="http://schemas.microsoft.com/office/drawing/2014/main" id="{476C6751-5457-44E2-9EA3-B1FB0E7806A8}"/>
            </a:ext>
          </a:extLst>
        </xdr:cNvPr>
        <xdr:cNvGrpSpPr>
          <a:grpSpLocks/>
        </xdr:cNvGrpSpPr>
      </xdr:nvGrpSpPr>
      <xdr:grpSpPr bwMode="auto">
        <a:xfrm>
          <a:off x="8820150" y="1838325"/>
          <a:ext cx="209550" cy="173353"/>
          <a:chOff x="3126" y="3070"/>
          <a:chExt cx="3000" cy="4203"/>
        </a:xfrm>
        <a:solidFill>
          <a:srgbClr val="FF0000"/>
        </a:solidFill>
        <a:scene3d>
          <a:camera prst="orthographicFront">
            <a:rot lat="0" lon="10800000" rev="0"/>
          </a:camera>
          <a:lightRig rig="threePt" dir="t"/>
        </a:scene3d>
      </xdr:grpSpPr>
      <xdr:sp macro="" textlink="">
        <xdr:nvSpPr>
          <xdr:cNvPr id="6" name="AutoShape 113">
            <a:extLst>
              <a:ext uri="{FF2B5EF4-FFF2-40B4-BE49-F238E27FC236}">
                <a16:creationId xmlns:a16="http://schemas.microsoft.com/office/drawing/2014/main" id="{3D3DF73A-9446-A7DF-FDE9-41BF3DE99F60}"/>
              </a:ext>
            </a:extLst>
          </xdr:cNvPr>
          <xdr:cNvSpPr>
            <a:spLocks noChangeArrowheads="1"/>
          </xdr:cNvSpPr>
        </xdr:nvSpPr>
        <xdr:spPr bwMode="auto">
          <a:xfrm rot="-10786638">
            <a:off x="3126" y="6308"/>
            <a:ext cx="3000" cy="965"/>
          </a:xfrm>
          <a:custGeom>
            <a:avLst/>
            <a:gdLst>
              <a:gd name="G0" fmla="+- 2867 0 0"/>
              <a:gd name="G1" fmla="+- 21600 0 2867"/>
              <a:gd name="G2" fmla="*/ 2867 1 2"/>
              <a:gd name="G3" fmla="+- 21600 0 G2"/>
              <a:gd name="G4" fmla="+/ 2867 21600 2"/>
              <a:gd name="G5" fmla="+/ G1 0 2"/>
              <a:gd name="G6" fmla="*/ 21600 21600 2867"/>
              <a:gd name="G7" fmla="*/ G6 1 2"/>
              <a:gd name="G8" fmla="+- 21600 0 G7"/>
              <a:gd name="G9" fmla="*/ 21600 1 2"/>
              <a:gd name="G10" fmla="+- 2867 0 G9"/>
              <a:gd name="G11" fmla="?: G10 G8 0"/>
              <a:gd name="G12" fmla="?: G10 G7 21600"/>
              <a:gd name="T0" fmla="*/ 20166 w 21600"/>
              <a:gd name="T1" fmla="*/ 10800 h 21600"/>
              <a:gd name="T2" fmla="*/ 10800 w 21600"/>
              <a:gd name="T3" fmla="*/ 21600 h 21600"/>
              <a:gd name="T4" fmla="*/ 1434 w 21600"/>
              <a:gd name="T5" fmla="*/ 10800 h 21600"/>
              <a:gd name="T6" fmla="*/ 10800 w 21600"/>
              <a:gd name="T7" fmla="*/ 0 h 21600"/>
              <a:gd name="T8" fmla="*/ 3234 w 21600"/>
              <a:gd name="T9" fmla="*/ 3234 h 21600"/>
              <a:gd name="T10" fmla="*/ 18366 w 21600"/>
              <a:gd name="T11" fmla="*/ 18366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T8" t="T9" r="T10" b="T11"/>
            <a:pathLst>
              <a:path w="21600" h="21600">
                <a:moveTo>
                  <a:pt x="0" y="0"/>
                </a:moveTo>
                <a:lnTo>
                  <a:pt x="2867" y="21600"/>
                </a:lnTo>
                <a:lnTo>
                  <a:pt x="18733" y="21600"/>
                </a:lnTo>
                <a:lnTo>
                  <a:pt x="21600" y="0"/>
                </a:lnTo>
                <a:close/>
              </a:path>
            </a:pathLst>
          </a:custGeom>
          <a:grpFill/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fr-FR"/>
          </a:p>
        </xdr:txBody>
      </xdr:sp>
      <xdr:grpSp>
        <xdr:nvGrpSpPr>
          <xdr:cNvPr id="7" name="Group 114">
            <a:extLst>
              <a:ext uri="{FF2B5EF4-FFF2-40B4-BE49-F238E27FC236}">
                <a16:creationId xmlns:a16="http://schemas.microsoft.com/office/drawing/2014/main" id="{D7A64B92-8D1C-74DC-EA32-C08474784D20}"/>
              </a:ext>
            </a:extLst>
          </xdr:cNvPr>
          <xdr:cNvGrpSpPr>
            <a:grpSpLocks/>
          </xdr:cNvGrpSpPr>
        </xdr:nvGrpSpPr>
        <xdr:grpSpPr bwMode="auto">
          <a:xfrm>
            <a:off x="3804" y="3070"/>
            <a:ext cx="1743" cy="3906"/>
            <a:chOff x="3584" y="3070"/>
            <a:chExt cx="2103" cy="3906"/>
          </a:xfrm>
          <a:grpFill/>
        </xdr:grpSpPr>
        <xdr:grpSp>
          <xdr:nvGrpSpPr>
            <xdr:cNvPr id="8" name="Group 115">
              <a:extLst>
                <a:ext uri="{FF2B5EF4-FFF2-40B4-BE49-F238E27FC236}">
                  <a16:creationId xmlns:a16="http://schemas.microsoft.com/office/drawing/2014/main" id="{6A9FE54C-93FC-9851-C088-4309A00CBD08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584" y="3070"/>
              <a:ext cx="2103" cy="3722"/>
              <a:chOff x="3584" y="3070"/>
              <a:chExt cx="2103" cy="3722"/>
            </a:xfrm>
            <a:grpFill/>
          </xdr:grpSpPr>
          <xdr:sp macro="" textlink="">
            <xdr:nvSpPr>
              <xdr:cNvPr id="10" name="AutoShape 116">
                <a:extLst>
                  <a:ext uri="{FF2B5EF4-FFF2-40B4-BE49-F238E27FC236}">
                    <a16:creationId xmlns:a16="http://schemas.microsoft.com/office/drawing/2014/main" id="{BC7B4AE6-01CD-0268-FE04-7ABCA5A15B29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584" y="3070"/>
                <a:ext cx="2103" cy="3722"/>
              </a:xfrm>
              <a:prstGeom prst="triangle">
                <a:avLst>
                  <a:gd name="adj" fmla="val 50000"/>
                </a:avLst>
              </a:prstGeom>
              <a:grpFill/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fr-FR"/>
              </a:p>
            </xdr:txBody>
          </xdr:sp>
          <xdr:sp macro="" textlink="">
            <xdr:nvSpPr>
              <xdr:cNvPr id="11" name="Arc 117">
                <a:extLst>
                  <a:ext uri="{FF2B5EF4-FFF2-40B4-BE49-F238E27FC236}">
                    <a16:creationId xmlns:a16="http://schemas.microsoft.com/office/drawing/2014/main" id="{F7EDC91F-B441-71FE-0D4E-4C4E06FE14CF}"/>
                  </a:ext>
                </a:extLst>
              </xdr:cNvPr>
              <xdr:cNvSpPr>
                <a:spLocks/>
              </xdr:cNvSpPr>
            </xdr:nvSpPr>
            <xdr:spPr bwMode="auto">
              <a:xfrm rot="5400000">
                <a:off x="4559" y="3857"/>
                <a:ext cx="138" cy="542"/>
              </a:xfrm>
              <a:custGeom>
                <a:avLst/>
                <a:gdLst>
                  <a:gd name="G0" fmla="+- 472 0 0"/>
                  <a:gd name="G1" fmla="+- 21600 0 0"/>
                  <a:gd name="G2" fmla="+- 21600 0 0"/>
                  <a:gd name="T0" fmla="*/ 472 w 22072"/>
                  <a:gd name="T1" fmla="*/ 0 h 43200"/>
                  <a:gd name="T2" fmla="*/ 0 w 22072"/>
                  <a:gd name="T3" fmla="*/ 43195 h 43200"/>
                  <a:gd name="T4" fmla="*/ 472 w 22072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2072" h="43200" fill="none" extrusionOk="0">
                    <a:moveTo>
                      <a:pt x="471" y="0"/>
                    </a:moveTo>
                    <a:cubicBezTo>
                      <a:pt x="12401" y="0"/>
                      <a:pt x="22072" y="9670"/>
                      <a:pt x="22072" y="21600"/>
                    </a:cubicBezTo>
                    <a:cubicBezTo>
                      <a:pt x="22072" y="33529"/>
                      <a:pt x="12401" y="43200"/>
                      <a:pt x="472" y="43200"/>
                    </a:cubicBezTo>
                    <a:cubicBezTo>
                      <a:pt x="314" y="43200"/>
                      <a:pt x="157" y="43198"/>
                      <a:pt x="0" y="43194"/>
                    </a:cubicBezTo>
                  </a:path>
                  <a:path w="22072" h="43200" stroke="0" extrusionOk="0">
                    <a:moveTo>
                      <a:pt x="471" y="0"/>
                    </a:moveTo>
                    <a:cubicBezTo>
                      <a:pt x="12401" y="0"/>
                      <a:pt x="22072" y="9670"/>
                      <a:pt x="22072" y="21600"/>
                    </a:cubicBezTo>
                    <a:cubicBezTo>
                      <a:pt x="22072" y="33529"/>
                      <a:pt x="12401" y="43200"/>
                      <a:pt x="472" y="43200"/>
                    </a:cubicBezTo>
                    <a:cubicBezTo>
                      <a:pt x="314" y="43200"/>
                      <a:pt x="157" y="43198"/>
                      <a:pt x="0" y="43194"/>
                    </a:cubicBezTo>
                    <a:lnTo>
                      <a:pt x="472" y="21600"/>
                    </a:lnTo>
                    <a:close/>
                  </a:path>
                </a:pathLst>
              </a:cu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fr-FR"/>
              </a:p>
            </xdr:txBody>
          </xdr:sp>
          <xdr:sp macro="" textlink="">
            <xdr:nvSpPr>
              <xdr:cNvPr id="12" name="Arc 118">
                <a:extLst>
                  <a:ext uri="{FF2B5EF4-FFF2-40B4-BE49-F238E27FC236}">
                    <a16:creationId xmlns:a16="http://schemas.microsoft.com/office/drawing/2014/main" id="{18D8D7B9-8A13-F8E8-212E-A1989B3FD716}"/>
                  </a:ext>
                </a:extLst>
              </xdr:cNvPr>
              <xdr:cNvSpPr>
                <a:spLocks/>
              </xdr:cNvSpPr>
            </xdr:nvSpPr>
            <xdr:spPr bwMode="auto">
              <a:xfrm rot="5400000">
                <a:off x="4564" y="4168"/>
                <a:ext cx="147" cy="823"/>
              </a:xfrm>
              <a:custGeom>
                <a:avLst/>
                <a:gdLst>
                  <a:gd name="G0" fmla="+- 5341 0 0"/>
                  <a:gd name="G1" fmla="+- 21600 0 0"/>
                  <a:gd name="G2" fmla="+- 21600 0 0"/>
                  <a:gd name="T0" fmla="*/ 0 w 26941"/>
                  <a:gd name="T1" fmla="*/ 671 h 43200"/>
                  <a:gd name="T2" fmla="*/ 4869 w 26941"/>
                  <a:gd name="T3" fmla="*/ 43195 h 43200"/>
                  <a:gd name="T4" fmla="*/ 5341 w 26941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6941" h="43200" fill="none" extrusionOk="0">
                    <a:moveTo>
                      <a:pt x="-1" y="670"/>
                    </a:moveTo>
                    <a:cubicBezTo>
                      <a:pt x="1745" y="225"/>
                      <a:pt x="3539" y="-1"/>
                      <a:pt x="5341" y="0"/>
                    </a:cubicBezTo>
                    <a:cubicBezTo>
                      <a:pt x="17270" y="0"/>
                      <a:pt x="26941" y="9670"/>
                      <a:pt x="26941" y="21600"/>
                    </a:cubicBezTo>
                    <a:cubicBezTo>
                      <a:pt x="26941" y="33529"/>
                      <a:pt x="17270" y="43200"/>
                      <a:pt x="5341" y="43200"/>
                    </a:cubicBezTo>
                    <a:cubicBezTo>
                      <a:pt x="5183" y="43200"/>
                      <a:pt x="5026" y="43198"/>
                      <a:pt x="4869" y="43194"/>
                    </a:cubicBezTo>
                  </a:path>
                  <a:path w="26941" h="43200" stroke="0" extrusionOk="0">
                    <a:moveTo>
                      <a:pt x="-1" y="670"/>
                    </a:moveTo>
                    <a:cubicBezTo>
                      <a:pt x="1745" y="225"/>
                      <a:pt x="3539" y="-1"/>
                      <a:pt x="5341" y="0"/>
                    </a:cubicBezTo>
                    <a:cubicBezTo>
                      <a:pt x="17270" y="0"/>
                      <a:pt x="26941" y="9670"/>
                      <a:pt x="26941" y="21600"/>
                    </a:cubicBezTo>
                    <a:cubicBezTo>
                      <a:pt x="26941" y="33529"/>
                      <a:pt x="17270" y="43200"/>
                      <a:pt x="5341" y="43200"/>
                    </a:cubicBezTo>
                    <a:cubicBezTo>
                      <a:pt x="5183" y="43200"/>
                      <a:pt x="5026" y="43198"/>
                      <a:pt x="4869" y="43194"/>
                    </a:cubicBezTo>
                    <a:lnTo>
                      <a:pt x="5341" y="21600"/>
                    </a:lnTo>
                    <a:close/>
                  </a:path>
                </a:pathLst>
              </a:cu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fr-FR"/>
              </a:p>
            </xdr:txBody>
          </xdr:sp>
          <xdr:grpSp>
            <xdr:nvGrpSpPr>
              <xdr:cNvPr id="13" name="Group 119">
                <a:extLst>
                  <a:ext uri="{FF2B5EF4-FFF2-40B4-BE49-F238E27FC236}">
                    <a16:creationId xmlns:a16="http://schemas.microsoft.com/office/drawing/2014/main" id="{42335C80-A5F7-FF52-EF6F-881D5BE2D506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3836" y="5317"/>
                <a:ext cx="1589" cy="826"/>
                <a:chOff x="4320" y="4511"/>
                <a:chExt cx="1336" cy="632"/>
              </a:xfrm>
              <a:grpFill/>
            </xdr:grpSpPr>
            <xdr:sp macro="" textlink="">
              <xdr:nvSpPr>
                <xdr:cNvPr id="14" name="Arc 120">
                  <a:extLst>
                    <a:ext uri="{FF2B5EF4-FFF2-40B4-BE49-F238E27FC236}">
                      <a16:creationId xmlns:a16="http://schemas.microsoft.com/office/drawing/2014/main" id="{401459ED-2832-B3FB-7D0C-43418E219F03}"/>
                    </a:ext>
                  </a:extLst>
                </xdr:cNvPr>
                <xdr:cNvSpPr>
                  <a:spLocks/>
                </xdr:cNvSpPr>
              </xdr:nvSpPr>
              <xdr:spPr bwMode="auto">
                <a:xfrm rot="5391339">
                  <a:off x="4898" y="4077"/>
                  <a:ext cx="205" cy="1074"/>
                </a:xfrm>
                <a:custGeom>
                  <a:avLst/>
                  <a:gdLst>
                    <a:gd name="G0" fmla="+- 580 0 0"/>
                    <a:gd name="G1" fmla="+- 21590 0 0"/>
                    <a:gd name="G2" fmla="+- 21600 0 0"/>
                    <a:gd name="T0" fmla="*/ 1227 w 22180"/>
                    <a:gd name="T1" fmla="*/ 0 h 43190"/>
                    <a:gd name="T2" fmla="*/ 0 w 22180"/>
                    <a:gd name="T3" fmla="*/ 43182 h 43190"/>
                    <a:gd name="T4" fmla="*/ 580 w 22180"/>
                    <a:gd name="T5" fmla="*/ 21590 h 4319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22180" h="43190" fill="none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</a:path>
                    <a:path w="22180" h="43190" stroke="0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  <a:lnTo>
                        <a:pt x="580" y="21590"/>
                      </a:lnTo>
                      <a:close/>
                    </a:path>
                  </a:pathLst>
                </a:custGeom>
                <a:grpFill/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fr-FR"/>
                </a:p>
              </xdr:txBody>
            </xdr:sp>
            <xdr:sp macro="" textlink="">
              <xdr:nvSpPr>
                <xdr:cNvPr id="15" name="Arc 121">
                  <a:extLst>
                    <a:ext uri="{FF2B5EF4-FFF2-40B4-BE49-F238E27FC236}">
                      <a16:creationId xmlns:a16="http://schemas.microsoft.com/office/drawing/2014/main" id="{8AC336A3-D71C-834F-B7F4-CBEA997F6ADA}"/>
                    </a:ext>
                  </a:extLst>
                </xdr:cNvPr>
                <xdr:cNvSpPr>
                  <a:spLocks/>
                </xdr:cNvSpPr>
              </xdr:nvSpPr>
              <xdr:spPr bwMode="auto">
                <a:xfrm rot="5391339">
                  <a:off x="4885" y="4373"/>
                  <a:ext cx="205" cy="1336"/>
                </a:xfrm>
                <a:custGeom>
                  <a:avLst/>
                  <a:gdLst>
                    <a:gd name="G0" fmla="+- 580 0 0"/>
                    <a:gd name="G1" fmla="+- 21590 0 0"/>
                    <a:gd name="G2" fmla="+- 21600 0 0"/>
                    <a:gd name="T0" fmla="*/ 1227 w 22180"/>
                    <a:gd name="T1" fmla="*/ 0 h 43190"/>
                    <a:gd name="T2" fmla="*/ 0 w 22180"/>
                    <a:gd name="T3" fmla="*/ 43182 h 43190"/>
                    <a:gd name="T4" fmla="*/ 580 w 22180"/>
                    <a:gd name="T5" fmla="*/ 21590 h 4319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22180" h="43190" fill="none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</a:path>
                    <a:path w="22180" h="43190" stroke="0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  <a:lnTo>
                        <a:pt x="580" y="21590"/>
                      </a:lnTo>
                      <a:close/>
                    </a:path>
                  </a:pathLst>
                </a:custGeom>
                <a:grpFill/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fr-FR"/>
                </a:p>
              </xdr:txBody>
            </xdr:sp>
            <xdr:cxnSp macro="">
              <xdr:nvCxnSpPr>
                <xdr:cNvPr id="16" name="Line 122">
                  <a:extLst>
                    <a:ext uri="{FF2B5EF4-FFF2-40B4-BE49-F238E27FC236}">
                      <a16:creationId xmlns:a16="http://schemas.microsoft.com/office/drawing/2014/main" id="{A731D8C9-84A1-B22C-BD14-60CDFCB71154}"/>
                    </a:ext>
                  </a:extLst>
                </xdr:cNvPr>
                <xdr:cNvCxnSpPr/>
              </xdr:nvCxnSpPr>
              <xdr:spPr bwMode="auto">
                <a:xfrm flipH="1">
                  <a:off x="4320" y="4530"/>
                  <a:ext cx="135" cy="428"/>
                </a:xfrm>
                <a:prstGeom prst="line">
                  <a:avLst/>
                </a:prstGeom>
                <a:grpFill/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17" name="Line 123">
                  <a:extLst>
                    <a:ext uri="{FF2B5EF4-FFF2-40B4-BE49-F238E27FC236}">
                      <a16:creationId xmlns:a16="http://schemas.microsoft.com/office/drawing/2014/main" id="{FB1BC0D7-64C3-5AAA-E073-FA172168337C}"/>
                    </a:ext>
                  </a:extLst>
                </xdr:cNvPr>
                <xdr:cNvCxnSpPr/>
              </xdr:nvCxnSpPr>
              <xdr:spPr bwMode="auto">
                <a:xfrm>
                  <a:off x="5528" y="4538"/>
                  <a:ext cx="127" cy="405"/>
                </a:xfrm>
                <a:prstGeom prst="line">
                  <a:avLst/>
                </a:prstGeom>
                <a:grpFill/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</xdr:grpSp>
        </xdr:grpSp>
        <xdr:sp macro="" textlink="">
          <xdr:nvSpPr>
            <xdr:cNvPr id="9" name="Arc 124">
              <a:extLst>
                <a:ext uri="{FF2B5EF4-FFF2-40B4-BE49-F238E27FC236}">
                  <a16:creationId xmlns:a16="http://schemas.microsoft.com/office/drawing/2014/main" id="{FBF51331-85E9-DE36-3078-8861A7C9191D}"/>
                </a:ext>
              </a:extLst>
            </xdr:cNvPr>
            <xdr:cNvSpPr>
              <a:spLocks/>
            </xdr:cNvSpPr>
          </xdr:nvSpPr>
          <xdr:spPr bwMode="auto">
            <a:xfrm rot="5400000">
              <a:off x="4529" y="5833"/>
              <a:ext cx="209" cy="2078"/>
            </a:xfrm>
            <a:custGeom>
              <a:avLst/>
              <a:gdLst>
                <a:gd name="G0" fmla="+- 472 0 0"/>
                <a:gd name="G1" fmla="+- 21581 0 0"/>
                <a:gd name="G2" fmla="+- 21600 0 0"/>
                <a:gd name="T0" fmla="*/ 1388 w 22072"/>
                <a:gd name="T1" fmla="*/ 0 h 43181"/>
                <a:gd name="T2" fmla="*/ 0 w 22072"/>
                <a:gd name="T3" fmla="*/ 43176 h 43181"/>
                <a:gd name="T4" fmla="*/ 472 w 22072"/>
                <a:gd name="T5" fmla="*/ 21581 h 4318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22072" h="43181" fill="none" extrusionOk="0">
                  <a:moveTo>
                    <a:pt x="1387" y="0"/>
                  </a:moveTo>
                  <a:cubicBezTo>
                    <a:pt x="12950" y="491"/>
                    <a:pt x="22072" y="10007"/>
                    <a:pt x="22072" y="21581"/>
                  </a:cubicBezTo>
                  <a:cubicBezTo>
                    <a:pt x="22072" y="33510"/>
                    <a:pt x="12401" y="43181"/>
                    <a:pt x="472" y="43181"/>
                  </a:cubicBezTo>
                  <a:cubicBezTo>
                    <a:pt x="314" y="43181"/>
                    <a:pt x="157" y="43179"/>
                    <a:pt x="0" y="43175"/>
                  </a:cubicBezTo>
                </a:path>
                <a:path w="22072" h="43181" stroke="0" extrusionOk="0">
                  <a:moveTo>
                    <a:pt x="1387" y="0"/>
                  </a:moveTo>
                  <a:cubicBezTo>
                    <a:pt x="12950" y="491"/>
                    <a:pt x="22072" y="10007"/>
                    <a:pt x="22072" y="21581"/>
                  </a:cubicBezTo>
                  <a:cubicBezTo>
                    <a:pt x="22072" y="33510"/>
                    <a:pt x="12401" y="43181"/>
                    <a:pt x="472" y="43181"/>
                  </a:cubicBezTo>
                  <a:cubicBezTo>
                    <a:pt x="314" y="43181"/>
                    <a:pt x="157" y="43179"/>
                    <a:pt x="0" y="43175"/>
                  </a:cubicBezTo>
                  <a:lnTo>
                    <a:pt x="472" y="21581"/>
                  </a:lnTo>
                  <a:close/>
                </a:path>
              </a:pathLst>
            </a:custGeom>
            <a:grp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fr-FR"/>
            </a:p>
          </xdr:txBody>
        </xdr:sp>
      </xdr:grpSp>
    </xdr:grpSp>
    <xdr:clientData/>
  </xdr:twoCellAnchor>
  <xdr:twoCellAnchor>
    <xdr:from>
      <xdr:col>6</xdr:col>
      <xdr:colOff>19050</xdr:colOff>
      <xdr:row>9</xdr:row>
      <xdr:rowOff>132715</xdr:rowOff>
    </xdr:from>
    <xdr:to>
      <xdr:col>6</xdr:col>
      <xdr:colOff>114300</xdr:colOff>
      <xdr:row>10</xdr:row>
      <xdr:rowOff>180340</xdr:rowOff>
    </xdr:to>
    <xdr:sp macro="" textlink="">
      <xdr:nvSpPr>
        <xdr:cNvPr id="18" name="Parallélogramme 17">
          <a:extLst>
            <a:ext uri="{FF2B5EF4-FFF2-40B4-BE49-F238E27FC236}">
              <a16:creationId xmlns:a16="http://schemas.microsoft.com/office/drawing/2014/main" id="{429FA553-3C57-4BEF-AB8E-E1CD74DF04BF}"/>
            </a:ext>
          </a:extLst>
        </xdr:cNvPr>
        <xdr:cNvSpPr/>
      </xdr:nvSpPr>
      <xdr:spPr>
        <a:xfrm>
          <a:off x="2876550" y="2009140"/>
          <a:ext cx="95250" cy="238125"/>
        </a:xfrm>
        <a:prstGeom prst="parallelogram">
          <a:avLst/>
        </a:prstGeom>
        <a:solidFill>
          <a:schemeClr val="tx1"/>
        </a:solidFill>
        <a:scene3d>
          <a:camera prst="orthographicFront">
            <a:rot lat="0" lon="10800000" rev="0"/>
          </a:camera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fr-FR"/>
        </a:p>
      </xdr:txBody>
    </xdr:sp>
    <xdr:clientData/>
  </xdr:twoCellAnchor>
  <xdr:twoCellAnchor>
    <xdr:from>
      <xdr:col>15</xdr:col>
      <xdr:colOff>704850</xdr:colOff>
      <xdr:row>9</xdr:row>
      <xdr:rowOff>142240</xdr:rowOff>
    </xdr:from>
    <xdr:to>
      <xdr:col>16</xdr:col>
      <xdr:colOff>38100</xdr:colOff>
      <xdr:row>10</xdr:row>
      <xdr:rowOff>189865</xdr:rowOff>
    </xdr:to>
    <xdr:sp macro="" textlink="">
      <xdr:nvSpPr>
        <xdr:cNvPr id="19" name="Parallélogramme 18">
          <a:extLst>
            <a:ext uri="{FF2B5EF4-FFF2-40B4-BE49-F238E27FC236}">
              <a16:creationId xmlns:a16="http://schemas.microsoft.com/office/drawing/2014/main" id="{7FA6042C-FB3A-4464-B594-FBBEAD731E5F}"/>
            </a:ext>
          </a:extLst>
        </xdr:cNvPr>
        <xdr:cNvSpPr/>
      </xdr:nvSpPr>
      <xdr:spPr>
        <a:xfrm>
          <a:off x="9991725" y="2018665"/>
          <a:ext cx="47625" cy="238125"/>
        </a:xfrm>
        <a:prstGeom prst="parallelogram">
          <a:avLst/>
        </a:prstGeom>
        <a:solidFill>
          <a:schemeClr val="accent6"/>
        </a:solidFill>
        <a:scene3d>
          <a:camera prst="orthographicFront">
            <a:rot lat="0" lon="10800000" rev="0"/>
          </a:camera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fr-FR"/>
        </a:p>
      </xdr:txBody>
    </xdr:sp>
    <xdr:clientData/>
  </xdr:twoCellAnchor>
  <xdr:twoCellAnchor>
    <xdr:from>
      <xdr:col>18</xdr:col>
      <xdr:colOff>704850</xdr:colOff>
      <xdr:row>9</xdr:row>
      <xdr:rowOff>142240</xdr:rowOff>
    </xdr:from>
    <xdr:to>
      <xdr:col>19</xdr:col>
      <xdr:colOff>38100</xdr:colOff>
      <xdr:row>10</xdr:row>
      <xdr:rowOff>189865</xdr:rowOff>
    </xdr:to>
    <xdr:sp macro="" textlink="">
      <xdr:nvSpPr>
        <xdr:cNvPr id="20" name="Parallélogramme 19">
          <a:extLst>
            <a:ext uri="{FF2B5EF4-FFF2-40B4-BE49-F238E27FC236}">
              <a16:creationId xmlns:a16="http://schemas.microsoft.com/office/drawing/2014/main" id="{CD5535E9-4DA8-41E9-9B3A-CB916D4544A5}"/>
            </a:ext>
          </a:extLst>
        </xdr:cNvPr>
        <xdr:cNvSpPr/>
      </xdr:nvSpPr>
      <xdr:spPr>
        <a:xfrm>
          <a:off x="12134850" y="2018665"/>
          <a:ext cx="47625" cy="238125"/>
        </a:xfrm>
        <a:prstGeom prst="parallelogram">
          <a:avLst/>
        </a:prstGeom>
        <a:solidFill>
          <a:schemeClr val="tx1"/>
        </a:solidFill>
        <a:scene3d>
          <a:camera prst="orthographicFront">
            <a:rot lat="0" lon="10800000" rev="0"/>
          </a:camera>
          <a:lightRig rig="threePt" dir="t"/>
        </a:scene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fr-FR"/>
        </a:p>
      </xdr:txBody>
    </xdr:sp>
    <xdr:clientData/>
  </xdr:twoCellAnchor>
  <xdr:twoCellAnchor>
    <xdr:from>
      <xdr:col>12</xdr:col>
      <xdr:colOff>180974</xdr:colOff>
      <xdr:row>8</xdr:row>
      <xdr:rowOff>133350</xdr:rowOff>
    </xdr:from>
    <xdr:to>
      <xdr:col>12</xdr:col>
      <xdr:colOff>416559</xdr:colOff>
      <xdr:row>9</xdr:row>
      <xdr:rowOff>130173</xdr:rowOff>
    </xdr:to>
    <xdr:grpSp>
      <xdr:nvGrpSpPr>
        <xdr:cNvPr id="21" name="Group 112">
          <a:extLst>
            <a:ext uri="{FF2B5EF4-FFF2-40B4-BE49-F238E27FC236}">
              <a16:creationId xmlns:a16="http://schemas.microsoft.com/office/drawing/2014/main" id="{7C8DCB1D-8603-42DC-8C7D-6E04F34931CB}"/>
            </a:ext>
          </a:extLst>
        </xdr:cNvPr>
        <xdr:cNvGrpSpPr>
          <a:grpSpLocks/>
        </xdr:cNvGrpSpPr>
      </xdr:nvGrpSpPr>
      <xdr:grpSpPr bwMode="auto">
        <a:xfrm>
          <a:off x="7324724" y="1819275"/>
          <a:ext cx="235585" cy="187323"/>
          <a:chOff x="3126" y="3070"/>
          <a:chExt cx="3000" cy="4203"/>
        </a:xfrm>
        <a:scene3d>
          <a:camera prst="orthographicFront">
            <a:rot lat="0" lon="10800000" rev="0"/>
          </a:camera>
          <a:lightRig rig="threePt" dir="t"/>
        </a:scene3d>
      </xdr:grpSpPr>
      <xdr:sp macro="" textlink="">
        <xdr:nvSpPr>
          <xdr:cNvPr id="22" name="AutoShape 113">
            <a:extLst>
              <a:ext uri="{FF2B5EF4-FFF2-40B4-BE49-F238E27FC236}">
                <a16:creationId xmlns:a16="http://schemas.microsoft.com/office/drawing/2014/main" id="{5F42524B-87D1-0DC9-6884-10C6C74E53CD}"/>
              </a:ext>
            </a:extLst>
          </xdr:cNvPr>
          <xdr:cNvSpPr>
            <a:spLocks noChangeArrowheads="1"/>
          </xdr:cNvSpPr>
        </xdr:nvSpPr>
        <xdr:spPr bwMode="auto">
          <a:xfrm rot="-10786638">
            <a:off x="3126" y="6308"/>
            <a:ext cx="3000" cy="965"/>
          </a:xfrm>
          <a:custGeom>
            <a:avLst/>
            <a:gdLst>
              <a:gd name="G0" fmla="+- 2867 0 0"/>
              <a:gd name="G1" fmla="+- 21600 0 2867"/>
              <a:gd name="G2" fmla="*/ 2867 1 2"/>
              <a:gd name="G3" fmla="+- 21600 0 G2"/>
              <a:gd name="G4" fmla="+/ 2867 21600 2"/>
              <a:gd name="G5" fmla="+/ G1 0 2"/>
              <a:gd name="G6" fmla="*/ 21600 21600 2867"/>
              <a:gd name="G7" fmla="*/ G6 1 2"/>
              <a:gd name="G8" fmla="+- 21600 0 G7"/>
              <a:gd name="G9" fmla="*/ 21600 1 2"/>
              <a:gd name="G10" fmla="+- 2867 0 G9"/>
              <a:gd name="G11" fmla="?: G10 G8 0"/>
              <a:gd name="G12" fmla="?: G10 G7 21600"/>
              <a:gd name="T0" fmla="*/ 20166 w 21600"/>
              <a:gd name="T1" fmla="*/ 10800 h 21600"/>
              <a:gd name="T2" fmla="*/ 10800 w 21600"/>
              <a:gd name="T3" fmla="*/ 21600 h 21600"/>
              <a:gd name="T4" fmla="*/ 1434 w 21600"/>
              <a:gd name="T5" fmla="*/ 10800 h 21600"/>
              <a:gd name="T6" fmla="*/ 10800 w 21600"/>
              <a:gd name="T7" fmla="*/ 0 h 21600"/>
              <a:gd name="T8" fmla="*/ 3234 w 21600"/>
              <a:gd name="T9" fmla="*/ 3234 h 21600"/>
              <a:gd name="T10" fmla="*/ 18366 w 21600"/>
              <a:gd name="T11" fmla="*/ 18366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T8" t="T9" r="T10" b="T11"/>
            <a:pathLst>
              <a:path w="21600" h="21600">
                <a:moveTo>
                  <a:pt x="0" y="0"/>
                </a:moveTo>
                <a:lnTo>
                  <a:pt x="2867" y="21600"/>
                </a:lnTo>
                <a:lnTo>
                  <a:pt x="18733" y="21600"/>
                </a:lnTo>
                <a:lnTo>
                  <a:pt x="21600" y="0"/>
                </a:lnTo>
                <a:close/>
              </a:path>
            </a:pathLst>
          </a:custGeom>
          <a:solidFill>
            <a:srgbClr val="FFC000"/>
          </a:solidFill>
          <a:ln w="9525">
            <a:solidFill>
              <a:schemeClr val="tx1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fr-FR"/>
          </a:p>
        </xdr:txBody>
      </xdr:sp>
      <xdr:grpSp>
        <xdr:nvGrpSpPr>
          <xdr:cNvPr id="23" name="Group 114">
            <a:extLst>
              <a:ext uri="{FF2B5EF4-FFF2-40B4-BE49-F238E27FC236}">
                <a16:creationId xmlns:a16="http://schemas.microsoft.com/office/drawing/2014/main" id="{2D8D442C-15E2-3BDE-9523-CA450E9B9A29}"/>
              </a:ext>
            </a:extLst>
          </xdr:cNvPr>
          <xdr:cNvGrpSpPr>
            <a:grpSpLocks/>
          </xdr:cNvGrpSpPr>
        </xdr:nvGrpSpPr>
        <xdr:grpSpPr bwMode="auto">
          <a:xfrm>
            <a:off x="3804" y="3070"/>
            <a:ext cx="1743" cy="3906"/>
            <a:chOff x="3584" y="3070"/>
            <a:chExt cx="2103" cy="3906"/>
          </a:xfrm>
        </xdr:grpSpPr>
        <xdr:grpSp>
          <xdr:nvGrpSpPr>
            <xdr:cNvPr id="24" name="Group 115">
              <a:extLst>
                <a:ext uri="{FF2B5EF4-FFF2-40B4-BE49-F238E27FC236}">
                  <a16:creationId xmlns:a16="http://schemas.microsoft.com/office/drawing/2014/main" id="{BB8F12D7-C517-EDA9-673B-F5B697489238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584" y="3070"/>
              <a:ext cx="2103" cy="3722"/>
              <a:chOff x="3584" y="3070"/>
              <a:chExt cx="2103" cy="3722"/>
            </a:xfrm>
          </xdr:grpSpPr>
          <xdr:sp macro="" textlink="">
            <xdr:nvSpPr>
              <xdr:cNvPr id="26" name="AutoShape 116">
                <a:extLst>
                  <a:ext uri="{FF2B5EF4-FFF2-40B4-BE49-F238E27FC236}">
                    <a16:creationId xmlns:a16="http://schemas.microsoft.com/office/drawing/2014/main" id="{6FFB2D37-47B5-0301-8AEA-5DCDC97C7A1E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584" y="3070"/>
                <a:ext cx="2103" cy="3722"/>
              </a:xfrm>
              <a:prstGeom prst="triangle">
                <a:avLst>
                  <a:gd name="adj" fmla="val 50000"/>
                </a:avLst>
              </a:prstGeom>
              <a:solidFill>
                <a:srgbClr val="FFC000"/>
              </a:solidFill>
              <a:ln w="9525">
                <a:solidFill>
                  <a:schemeClr val="tx1"/>
                </a:solidFill>
                <a:miter lim="800000"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fr-FR"/>
              </a:p>
            </xdr:txBody>
          </xdr:sp>
          <xdr:sp macro="" textlink="">
            <xdr:nvSpPr>
              <xdr:cNvPr id="27" name="Arc 117">
                <a:extLst>
                  <a:ext uri="{FF2B5EF4-FFF2-40B4-BE49-F238E27FC236}">
                    <a16:creationId xmlns:a16="http://schemas.microsoft.com/office/drawing/2014/main" id="{3CDF6F79-88D1-ADF9-8733-45A1B843569A}"/>
                  </a:ext>
                </a:extLst>
              </xdr:cNvPr>
              <xdr:cNvSpPr>
                <a:spLocks/>
              </xdr:cNvSpPr>
            </xdr:nvSpPr>
            <xdr:spPr bwMode="auto">
              <a:xfrm rot="5400000">
                <a:off x="4559" y="3857"/>
                <a:ext cx="138" cy="542"/>
              </a:xfrm>
              <a:custGeom>
                <a:avLst/>
                <a:gdLst>
                  <a:gd name="G0" fmla="+- 472 0 0"/>
                  <a:gd name="G1" fmla="+- 21600 0 0"/>
                  <a:gd name="G2" fmla="+- 21600 0 0"/>
                  <a:gd name="T0" fmla="*/ 472 w 22072"/>
                  <a:gd name="T1" fmla="*/ 0 h 43200"/>
                  <a:gd name="T2" fmla="*/ 0 w 22072"/>
                  <a:gd name="T3" fmla="*/ 43195 h 43200"/>
                  <a:gd name="T4" fmla="*/ 472 w 22072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2072" h="43200" fill="none" extrusionOk="0">
                    <a:moveTo>
                      <a:pt x="471" y="0"/>
                    </a:moveTo>
                    <a:cubicBezTo>
                      <a:pt x="12401" y="0"/>
                      <a:pt x="22072" y="9670"/>
                      <a:pt x="22072" y="21600"/>
                    </a:cubicBezTo>
                    <a:cubicBezTo>
                      <a:pt x="22072" y="33529"/>
                      <a:pt x="12401" y="43200"/>
                      <a:pt x="472" y="43200"/>
                    </a:cubicBezTo>
                    <a:cubicBezTo>
                      <a:pt x="314" y="43200"/>
                      <a:pt x="157" y="43198"/>
                      <a:pt x="0" y="43194"/>
                    </a:cubicBezTo>
                  </a:path>
                  <a:path w="22072" h="43200" stroke="0" extrusionOk="0">
                    <a:moveTo>
                      <a:pt x="471" y="0"/>
                    </a:moveTo>
                    <a:cubicBezTo>
                      <a:pt x="12401" y="0"/>
                      <a:pt x="22072" y="9670"/>
                      <a:pt x="22072" y="21600"/>
                    </a:cubicBezTo>
                    <a:cubicBezTo>
                      <a:pt x="22072" y="33529"/>
                      <a:pt x="12401" y="43200"/>
                      <a:pt x="472" y="43200"/>
                    </a:cubicBezTo>
                    <a:cubicBezTo>
                      <a:pt x="314" y="43200"/>
                      <a:pt x="157" y="43198"/>
                      <a:pt x="0" y="43194"/>
                    </a:cubicBezTo>
                    <a:lnTo>
                      <a:pt x="472" y="21600"/>
                    </a:lnTo>
                    <a:close/>
                  </a:path>
                </a:pathLst>
              </a:custGeom>
              <a:noFill/>
              <a:ln w="9525">
                <a:solidFill>
                  <a:schemeClr val="tx1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fr-FR"/>
              </a:p>
            </xdr:txBody>
          </xdr:sp>
          <xdr:sp macro="" textlink="">
            <xdr:nvSpPr>
              <xdr:cNvPr id="28" name="Arc 118">
                <a:extLst>
                  <a:ext uri="{FF2B5EF4-FFF2-40B4-BE49-F238E27FC236}">
                    <a16:creationId xmlns:a16="http://schemas.microsoft.com/office/drawing/2014/main" id="{193D10D8-0681-CF01-B6FA-967369F66BAB}"/>
                  </a:ext>
                </a:extLst>
              </xdr:cNvPr>
              <xdr:cNvSpPr>
                <a:spLocks/>
              </xdr:cNvSpPr>
            </xdr:nvSpPr>
            <xdr:spPr bwMode="auto">
              <a:xfrm rot="5400000">
                <a:off x="4564" y="4168"/>
                <a:ext cx="147" cy="823"/>
              </a:xfrm>
              <a:custGeom>
                <a:avLst/>
                <a:gdLst>
                  <a:gd name="G0" fmla="+- 5341 0 0"/>
                  <a:gd name="G1" fmla="+- 21600 0 0"/>
                  <a:gd name="G2" fmla="+- 21600 0 0"/>
                  <a:gd name="T0" fmla="*/ 0 w 26941"/>
                  <a:gd name="T1" fmla="*/ 671 h 43200"/>
                  <a:gd name="T2" fmla="*/ 4869 w 26941"/>
                  <a:gd name="T3" fmla="*/ 43195 h 43200"/>
                  <a:gd name="T4" fmla="*/ 5341 w 26941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6941" h="43200" fill="none" extrusionOk="0">
                    <a:moveTo>
                      <a:pt x="-1" y="670"/>
                    </a:moveTo>
                    <a:cubicBezTo>
                      <a:pt x="1745" y="225"/>
                      <a:pt x="3539" y="-1"/>
                      <a:pt x="5341" y="0"/>
                    </a:cubicBezTo>
                    <a:cubicBezTo>
                      <a:pt x="17270" y="0"/>
                      <a:pt x="26941" y="9670"/>
                      <a:pt x="26941" y="21600"/>
                    </a:cubicBezTo>
                    <a:cubicBezTo>
                      <a:pt x="26941" y="33529"/>
                      <a:pt x="17270" y="43200"/>
                      <a:pt x="5341" y="43200"/>
                    </a:cubicBezTo>
                    <a:cubicBezTo>
                      <a:pt x="5183" y="43200"/>
                      <a:pt x="5026" y="43198"/>
                      <a:pt x="4869" y="43194"/>
                    </a:cubicBezTo>
                  </a:path>
                  <a:path w="26941" h="43200" stroke="0" extrusionOk="0">
                    <a:moveTo>
                      <a:pt x="-1" y="670"/>
                    </a:moveTo>
                    <a:cubicBezTo>
                      <a:pt x="1745" y="225"/>
                      <a:pt x="3539" y="-1"/>
                      <a:pt x="5341" y="0"/>
                    </a:cubicBezTo>
                    <a:cubicBezTo>
                      <a:pt x="17270" y="0"/>
                      <a:pt x="26941" y="9670"/>
                      <a:pt x="26941" y="21600"/>
                    </a:cubicBezTo>
                    <a:cubicBezTo>
                      <a:pt x="26941" y="33529"/>
                      <a:pt x="17270" y="43200"/>
                      <a:pt x="5341" y="43200"/>
                    </a:cubicBezTo>
                    <a:cubicBezTo>
                      <a:pt x="5183" y="43200"/>
                      <a:pt x="5026" y="43198"/>
                      <a:pt x="4869" y="43194"/>
                    </a:cubicBezTo>
                    <a:lnTo>
                      <a:pt x="5341" y="21600"/>
                    </a:lnTo>
                    <a:close/>
                  </a:path>
                </a:pathLst>
              </a:custGeom>
              <a:noFill/>
              <a:ln w="9525">
                <a:solidFill>
                  <a:schemeClr val="tx1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fr-FR"/>
              </a:p>
            </xdr:txBody>
          </xdr:sp>
          <xdr:grpSp>
            <xdr:nvGrpSpPr>
              <xdr:cNvPr id="29" name="Group 119">
                <a:extLst>
                  <a:ext uri="{FF2B5EF4-FFF2-40B4-BE49-F238E27FC236}">
                    <a16:creationId xmlns:a16="http://schemas.microsoft.com/office/drawing/2014/main" id="{0B04DF84-4086-BE6D-1E90-B73BB979C096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3836" y="5317"/>
                <a:ext cx="1589" cy="826"/>
                <a:chOff x="4320" y="4511"/>
                <a:chExt cx="1336" cy="632"/>
              </a:xfrm>
            </xdr:grpSpPr>
            <xdr:sp macro="" textlink="">
              <xdr:nvSpPr>
                <xdr:cNvPr id="30" name="Arc 120">
                  <a:extLst>
                    <a:ext uri="{FF2B5EF4-FFF2-40B4-BE49-F238E27FC236}">
                      <a16:creationId xmlns:a16="http://schemas.microsoft.com/office/drawing/2014/main" id="{E54677A2-D5D1-8EFC-CFF6-DEB0DC23DF85}"/>
                    </a:ext>
                  </a:extLst>
                </xdr:cNvPr>
                <xdr:cNvSpPr>
                  <a:spLocks/>
                </xdr:cNvSpPr>
              </xdr:nvSpPr>
              <xdr:spPr bwMode="auto">
                <a:xfrm rot="5391339">
                  <a:off x="4898" y="4077"/>
                  <a:ext cx="205" cy="1074"/>
                </a:xfrm>
                <a:custGeom>
                  <a:avLst/>
                  <a:gdLst>
                    <a:gd name="G0" fmla="+- 580 0 0"/>
                    <a:gd name="G1" fmla="+- 21590 0 0"/>
                    <a:gd name="G2" fmla="+- 21600 0 0"/>
                    <a:gd name="T0" fmla="*/ 1227 w 22180"/>
                    <a:gd name="T1" fmla="*/ 0 h 43190"/>
                    <a:gd name="T2" fmla="*/ 0 w 22180"/>
                    <a:gd name="T3" fmla="*/ 43182 h 43190"/>
                    <a:gd name="T4" fmla="*/ 580 w 22180"/>
                    <a:gd name="T5" fmla="*/ 21590 h 4319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22180" h="43190" fill="none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</a:path>
                    <a:path w="22180" h="43190" stroke="0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  <a:lnTo>
                        <a:pt x="580" y="21590"/>
                      </a:lnTo>
                      <a:close/>
                    </a:path>
                  </a:pathLst>
                </a:custGeom>
                <a:noFill/>
                <a:ln w="9525">
                  <a:solidFill>
                    <a:schemeClr val="tx1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fr-FR"/>
                </a:p>
              </xdr:txBody>
            </xdr:sp>
            <xdr:sp macro="" textlink="">
              <xdr:nvSpPr>
                <xdr:cNvPr id="31" name="Arc 121">
                  <a:extLst>
                    <a:ext uri="{FF2B5EF4-FFF2-40B4-BE49-F238E27FC236}">
                      <a16:creationId xmlns:a16="http://schemas.microsoft.com/office/drawing/2014/main" id="{E0DED57F-CAE9-D8F8-DB37-36B5E5309E6D}"/>
                    </a:ext>
                  </a:extLst>
                </xdr:cNvPr>
                <xdr:cNvSpPr>
                  <a:spLocks/>
                </xdr:cNvSpPr>
              </xdr:nvSpPr>
              <xdr:spPr bwMode="auto">
                <a:xfrm rot="5391339">
                  <a:off x="4885" y="4373"/>
                  <a:ext cx="205" cy="1336"/>
                </a:xfrm>
                <a:custGeom>
                  <a:avLst/>
                  <a:gdLst>
                    <a:gd name="G0" fmla="+- 580 0 0"/>
                    <a:gd name="G1" fmla="+- 21590 0 0"/>
                    <a:gd name="G2" fmla="+- 21600 0 0"/>
                    <a:gd name="T0" fmla="*/ 1227 w 22180"/>
                    <a:gd name="T1" fmla="*/ 0 h 43190"/>
                    <a:gd name="T2" fmla="*/ 0 w 22180"/>
                    <a:gd name="T3" fmla="*/ 43182 h 43190"/>
                    <a:gd name="T4" fmla="*/ 580 w 22180"/>
                    <a:gd name="T5" fmla="*/ 21590 h 4319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22180" h="43190" fill="none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</a:path>
                    <a:path w="22180" h="43190" stroke="0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  <a:lnTo>
                        <a:pt x="580" y="21590"/>
                      </a:lnTo>
                      <a:close/>
                    </a:path>
                  </a:pathLst>
                </a:custGeom>
                <a:solidFill>
                  <a:schemeClr val="tx1"/>
                </a:solidFill>
                <a:ln w="9525">
                  <a:solidFill>
                    <a:schemeClr val="tx1"/>
                  </a:solidFill>
                  <a:round/>
                  <a:headEnd/>
                  <a:tailEnd/>
                </a:ln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fr-FR"/>
                </a:p>
              </xdr:txBody>
            </xdr:sp>
            <xdr:cxnSp macro="">
              <xdr:nvCxnSpPr>
                <xdr:cNvPr id="32" name="Line 122">
                  <a:extLst>
                    <a:ext uri="{FF2B5EF4-FFF2-40B4-BE49-F238E27FC236}">
                      <a16:creationId xmlns:a16="http://schemas.microsoft.com/office/drawing/2014/main" id="{A2741FEF-2600-F22E-573F-D3400B380A77}"/>
                    </a:ext>
                  </a:extLst>
                </xdr:cNvPr>
                <xdr:cNvCxnSpPr/>
              </xdr:nvCxnSpPr>
              <xdr:spPr bwMode="auto">
                <a:xfrm flipH="1">
                  <a:off x="4320" y="4530"/>
                  <a:ext cx="135" cy="428"/>
                </a:xfrm>
                <a:prstGeom prst="line">
                  <a:avLst/>
                </a:prstGeom>
                <a:noFill/>
                <a:ln w="9525">
                  <a:solidFill>
                    <a:schemeClr val="tx1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33" name="Line 123">
                  <a:extLst>
                    <a:ext uri="{FF2B5EF4-FFF2-40B4-BE49-F238E27FC236}">
                      <a16:creationId xmlns:a16="http://schemas.microsoft.com/office/drawing/2014/main" id="{B7B7EBDE-3090-A314-E03F-0271110274FA}"/>
                    </a:ext>
                  </a:extLst>
                </xdr:cNvPr>
                <xdr:cNvCxnSpPr/>
              </xdr:nvCxnSpPr>
              <xdr:spPr bwMode="auto">
                <a:xfrm>
                  <a:off x="5528" y="4538"/>
                  <a:ext cx="127" cy="405"/>
                </a:xfrm>
                <a:prstGeom prst="line">
                  <a:avLst/>
                </a:prstGeom>
                <a:noFill/>
                <a:ln w="9525">
                  <a:solidFill>
                    <a:schemeClr val="tx1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</xdr:grpSp>
        <xdr:sp macro="" textlink="">
          <xdr:nvSpPr>
            <xdr:cNvPr id="25" name="Arc 124">
              <a:extLst>
                <a:ext uri="{FF2B5EF4-FFF2-40B4-BE49-F238E27FC236}">
                  <a16:creationId xmlns:a16="http://schemas.microsoft.com/office/drawing/2014/main" id="{88C694C3-724A-0009-8E2E-90CF57016322}"/>
                </a:ext>
              </a:extLst>
            </xdr:cNvPr>
            <xdr:cNvSpPr>
              <a:spLocks/>
            </xdr:cNvSpPr>
          </xdr:nvSpPr>
          <xdr:spPr bwMode="auto">
            <a:xfrm rot="5400000">
              <a:off x="4529" y="5833"/>
              <a:ext cx="209" cy="2078"/>
            </a:xfrm>
            <a:custGeom>
              <a:avLst/>
              <a:gdLst>
                <a:gd name="G0" fmla="+- 472 0 0"/>
                <a:gd name="G1" fmla="+- 21581 0 0"/>
                <a:gd name="G2" fmla="+- 21600 0 0"/>
                <a:gd name="T0" fmla="*/ 1388 w 22072"/>
                <a:gd name="T1" fmla="*/ 0 h 43181"/>
                <a:gd name="T2" fmla="*/ 0 w 22072"/>
                <a:gd name="T3" fmla="*/ 43176 h 43181"/>
                <a:gd name="T4" fmla="*/ 472 w 22072"/>
                <a:gd name="T5" fmla="*/ 21581 h 4318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22072" h="43181" fill="none" extrusionOk="0">
                  <a:moveTo>
                    <a:pt x="1387" y="0"/>
                  </a:moveTo>
                  <a:cubicBezTo>
                    <a:pt x="12950" y="491"/>
                    <a:pt x="22072" y="10007"/>
                    <a:pt x="22072" y="21581"/>
                  </a:cubicBezTo>
                  <a:cubicBezTo>
                    <a:pt x="22072" y="33510"/>
                    <a:pt x="12401" y="43181"/>
                    <a:pt x="472" y="43181"/>
                  </a:cubicBezTo>
                  <a:cubicBezTo>
                    <a:pt x="314" y="43181"/>
                    <a:pt x="157" y="43179"/>
                    <a:pt x="0" y="43175"/>
                  </a:cubicBezTo>
                </a:path>
                <a:path w="22072" h="43181" stroke="0" extrusionOk="0">
                  <a:moveTo>
                    <a:pt x="1387" y="0"/>
                  </a:moveTo>
                  <a:cubicBezTo>
                    <a:pt x="12950" y="491"/>
                    <a:pt x="22072" y="10007"/>
                    <a:pt x="22072" y="21581"/>
                  </a:cubicBezTo>
                  <a:cubicBezTo>
                    <a:pt x="22072" y="33510"/>
                    <a:pt x="12401" y="43181"/>
                    <a:pt x="472" y="43181"/>
                  </a:cubicBezTo>
                  <a:cubicBezTo>
                    <a:pt x="314" y="43181"/>
                    <a:pt x="157" y="43179"/>
                    <a:pt x="0" y="43175"/>
                  </a:cubicBezTo>
                  <a:lnTo>
                    <a:pt x="472" y="21581"/>
                  </a:ln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FFC000">
                  <a:alpha val="0"/>
                </a:srgbClr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fr-FR"/>
            </a:p>
          </xdr:txBody>
        </xdr:sp>
      </xdr:grpSp>
    </xdr:grpSp>
    <xdr:clientData/>
  </xdr:twoCellAnchor>
  <xdr:twoCellAnchor>
    <xdr:from>
      <xdr:col>10</xdr:col>
      <xdr:colOff>190499</xdr:colOff>
      <xdr:row>8</xdr:row>
      <xdr:rowOff>142875</xdr:rowOff>
    </xdr:from>
    <xdr:to>
      <xdr:col>10</xdr:col>
      <xdr:colOff>466724</xdr:colOff>
      <xdr:row>9</xdr:row>
      <xdr:rowOff>125728</xdr:rowOff>
    </xdr:to>
    <xdr:grpSp>
      <xdr:nvGrpSpPr>
        <xdr:cNvPr id="34" name="Group 112">
          <a:extLst>
            <a:ext uri="{FF2B5EF4-FFF2-40B4-BE49-F238E27FC236}">
              <a16:creationId xmlns:a16="http://schemas.microsoft.com/office/drawing/2014/main" id="{A5EDB3BB-A9EE-486F-A28F-5B2F0E6D1F93}"/>
            </a:ext>
          </a:extLst>
        </xdr:cNvPr>
        <xdr:cNvGrpSpPr>
          <a:grpSpLocks/>
        </xdr:cNvGrpSpPr>
      </xdr:nvGrpSpPr>
      <xdr:grpSpPr bwMode="auto">
        <a:xfrm>
          <a:off x="5905499" y="1828800"/>
          <a:ext cx="276225" cy="173353"/>
          <a:chOff x="3126" y="3070"/>
          <a:chExt cx="3000" cy="4203"/>
        </a:xfrm>
        <a:solidFill>
          <a:srgbClr val="FF0000"/>
        </a:solidFill>
        <a:scene3d>
          <a:camera prst="orthographicFront">
            <a:rot lat="0" lon="10800000" rev="0"/>
          </a:camera>
          <a:lightRig rig="threePt" dir="t"/>
        </a:scene3d>
      </xdr:grpSpPr>
      <xdr:sp macro="" textlink="">
        <xdr:nvSpPr>
          <xdr:cNvPr id="35" name="AutoShape 113">
            <a:extLst>
              <a:ext uri="{FF2B5EF4-FFF2-40B4-BE49-F238E27FC236}">
                <a16:creationId xmlns:a16="http://schemas.microsoft.com/office/drawing/2014/main" id="{B462F31E-B246-4C27-F8D6-AF286CFC24E9}"/>
              </a:ext>
            </a:extLst>
          </xdr:cNvPr>
          <xdr:cNvSpPr>
            <a:spLocks noChangeArrowheads="1"/>
          </xdr:cNvSpPr>
        </xdr:nvSpPr>
        <xdr:spPr bwMode="auto">
          <a:xfrm rot="-10786638">
            <a:off x="3126" y="6308"/>
            <a:ext cx="3000" cy="965"/>
          </a:xfrm>
          <a:custGeom>
            <a:avLst/>
            <a:gdLst>
              <a:gd name="G0" fmla="+- 2867 0 0"/>
              <a:gd name="G1" fmla="+- 21600 0 2867"/>
              <a:gd name="G2" fmla="*/ 2867 1 2"/>
              <a:gd name="G3" fmla="+- 21600 0 G2"/>
              <a:gd name="G4" fmla="+/ 2867 21600 2"/>
              <a:gd name="G5" fmla="+/ G1 0 2"/>
              <a:gd name="G6" fmla="*/ 21600 21600 2867"/>
              <a:gd name="G7" fmla="*/ G6 1 2"/>
              <a:gd name="G8" fmla="+- 21600 0 G7"/>
              <a:gd name="G9" fmla="*/ 21600 1 2"/>
              <a:gd name="G10" fmla="+- 2867 0 G9"/>
              <a:gd name="G11" fmla="?: G10 G8 0"/>
              <a:gd name="G12" fmla="?: G10 G7 21600"/>
              <a:gd name="T0" fmla="*/ 20166 w 21600"/>
              <a:gd name="T1" fmla="*/ 10800 h 21600"/>
              <a:gd name="T2" fmla="*/ 10800 w 21600"/>
              <a:gd name="T3" fmla="*/ 21600 h 21600"/>
              <a:gd name="T4" fmla="*/ 1434 w 21600"/>
              <a:gd name="T5" fmla="*/ 10800 h 21600"/>
              <a:gd name="T6" fmla="*/ 10800 w 21600"/>
              <a:gd name="T7" fmla="*/ 0 h 21600"/>
              <a:gd name="T8" fmla="*/ 3234 w 21600"/>
              <a:gd name="T9" fmla="*/ 3234 h 21600"/>
              <a:gd name="T10" fmla="*/ 18366 w 21600"/>
              <a:gd name="T11" fmla="*/ 18366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T8" t="T9" r="T10" b="T11"/>
            <a:pathLst>
              <a:path w="21600" h="21600">
                <a:moveTo>
                  <a:pt x="0" y="0"/>
                </a:moveTo>
                <a:lnTo>
                  <a:pt x="2867" y="21600"/>
                </a:lnTo>
                <a:lnTo>
                  <a:pt x="18733" y="21600"/>
                </a:lnTo>
                <a:lnTo>
                  <a:pt x="21600" y="0"/>
                </a:lnTo>
                <a:close/>
              </a:path>
            </a:pathLst>
          </a:custGeom>
          <a:grpFill/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fr-FR"/>
          </a:p>
        </xdr:txBody>
      </xdr:sp>
      <xdr:grpSp>
        <xdr:nvGrpSpPr>
          <xdr:cNvPr id="36" name="Group 114">
            <a:extLst>
              <a:ext uri="{FF2B5EF4-FFF2-40B4-BE49-F238E27FC236}">
                <a16:creationId xmlns:a16="http://schemas.microsoft.com/office/drawing/2014/main" id="{1B46BBC9-8FCC-4548-773F-E19816A216EE}"/>
              </a:ext>
            </a:extLst>
          </xdr:cNvPr>
          <xdr:cNvGrpSpPr>
            <a:grpSpLocks/>
          </xdr:cNvGrpSpPr>
        </xdr:nvGrpSpPr>
        <xdr:grpSpPr bwMode="auto">
          <a:xfrm>
            <a:off x="3804" y="3070"/>
            <a:ext cx="1743" cy="3906"/>
            <a:chOff x="3584" y="3070"/>
            <a:chExt cx="2103" cy="3906"/>
          </a:xfrm>
          <a:grpFill/>
        </xdr:grpSpPr>
        <xdr:grpSp>
          <xdr:nvGrpSpPr>
            <xdr:cNvPr id="37" name="Group 115">
              <a:extLst>
                <a:ext uri="{FF2B5EF4-FFF2-40B4-BE49-F238E27FC236}">
                  <a16:creationId xmlns:a16="http://schemas.microsoft.com/office/drawing/2014/main" id="{4B5F692F-1941-F5C9-38E8-7343223D381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584" y="3070"/>
              <a:ext cx="2103" cy="3722"/>
              <a:chOff x="3584" y="3070"/>
              <a:chExt cx="2103" cy="3722"/>
            </a:xfrm>
            <a:grpFill/>
          </xdr:grpSpPr>
          <xdr:sp macro="" textlink="">
            <xdr:nvSpPr>
              <xdr:cNvPr id="39" name="AutoShape 116">
                <a:extLst>
                  <a:ext uri="{FF2B5EF4-FFF2-40B4-BE49-F238E27FC236}">
                    <a16:creationId xmlns:a16="http://schemas.microsoft.com/office/drawing/2014/main" id="{1BF2742C-ACBB-1077-52ED-32CC8F60FC1E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584" y="3070"/>
                <a:ext cx="2103" cy="3722"/>
              </a:xfrm>
              <a:prstGeom prst="triangle">
                <a:avLst>
                  <a:gd name="adj" fmla="val 50000"/>
                </a:avLst>
              </a:prstGeom>
              <a:grpFill/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fr-FR"/>
              </a:p>
            </xdr:txBody>
          </xdr:sp>
          <xdr:sp macro="" textlink="">
            <xdr:nvSpPr>
              <xdr:cNvPr id="40" name="Arc 117">
                <a:extLst>
                  <a:ext uri="{FF2B5EF4-FFF2-40B4-BE49-F238E27FC236}">
                    <a16:creationId xmlns:a16="http://schemas.microsoft.com/office/drawing/2014/main" id="{E488C040-E2BA-69ED-5F6D-96F76E00D7C0}"/>
                  </a:ext>
                </a:extLst>
              </xdr:cNvPr>
              <xdr:cNvSpPr>
                <a:spLocks/>
              </xdr:cNvSpPr>
            </xdr:nvSpPr>
            <xdr:spPr bwMode="auto">
              <a:xfrm rot="5400000">
                <a:off x="4559" y="3857"/>
                <a:ext cx="138" cy="542"/>
              </a:xfrm>
              <a:custGeom>
                <a:avLst/>
                <a:gdLst>
                  <a:gd name="G0" fmla="+- 472 0 0"/>
                  <a:gd name="G1" fmla="+- 21600 0 0"/>
                  <a:gd name="G2" fmla="+- 21600 0 0"/>
                  <a:gd name="T0" fmla="*/ 472 w 22072"/>
                  <a:gd name="T1" fmla="*/ 0 h 43200"/>
                  <a:gd name="T2" fmla="*/ 0 w 22072"/>
                  <a:gd name="T3" fmla="*/ 43195 h 43200"/>
                  <a:gd name="T4" fmla="*/ 472 w 22072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2072" h="43200" fill="none" extrusionOk="0">
                    <a:moveTo>
                      <a:pt x="471" y="0"/>
                    </a:moveTo>
                    <a:cubicBezTo>
                      <a:pt x="12401" y="0"/>
                      <a:pt x="22072" y="9670"/>
                      <a:pt x="22072" y="21600"/>
                    </a:cubicBezTo>
                    <a:cubicBezTo>
                      <a:pt x="22072" y="33529"/>
                      <a:pt x="12401" y="43200"/>
                      <a:pt x="472" y="43200"/>
                    </a:cubicBezTo>
                    <a:cubicBezTo>
                      <a:pt x="314" y="43200"/>
                      <a:pt x="157" y="43198"/>
                      <a:pt x="0" y="43194"/>
                    </a:cubicBezTo>
                  </a:path>
                  <a:path w="22072" h="43200" stroke="0" extrusionOk="0">
                    <a:moveTo>
                      <a:pt x="471" y="0"/>
                    </a:moveTo>
                    <a:cubicBezTo>
                      <a:pt x="12401" y="0"/>
                      <a:pt x="22072" y="9670"/>
                      <a:pt x="22072" y="21600"/>
                    </a:cubicBezTo>
                    <a:cubicBezTo>
                      <a:pt x="22072" y="33529"/>
                      <a:pt x="12401" y="43200"/>
                      <a:pt x="472" y="43200"/>
                    </a:cubicBezTo>
                    <a:cubicBezTo>
                      <a:pt x="314" y="43200"/>
                      <a:pt x="157" y="43198"/>
                      <a:pt x="0" y="43194"/>
                    </a:cubicBezTo>
                    <a:lnTo>
                      <a:pt x="472" y="21600"/>
                    </a:lnTo>
                    <a:close/>
                  </a:path>
                </a:pathLst>
              </a:cu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fr-FR"/>
              </a:p>
            </xdr:txBody>
          </xdr:sp>
          <xdr:sp macro="" textlink="">
            <xdr:nvSpPr>
              <xdr:cNvPr id="41" name="Arc 118">
                <a:extLst>
                  <a:ext uri="{FF2B5EF4-FFF2-40B4-BE49-F238E27FC236}">
                    <a16:creationId xmlns:a16="http://schemas.microsoft.com/office/drawing/2014/main" id="{7E4F1FEB-1330-A295-F4BA-465C010D3948}"/>
                  </a:ext>
                </a:extLst>
              </xdr:cNvPr>
              <xdr:cNvSpPr>
                <a:spLocks/>
              </xdr:cNvSpPr>
            </xdr:nvSpPr>
            <xdr:spPr bwMode="auto">
              <a:xfrm rot="5400000">
                <a:off x="4564" y="4168"/>
                <a:ext cx="147" cy="823"/>
              </a:xfrm>
              <a:custGeom>
                <a:avLst/>
                <a:gdLst>
                  <a:gd name="G0" fmla="+- 5341 0 0"/>
                  <a:gd name="G1" fmla="+- 21600 0 0"/>
                  <a:gd name="G2" fmla="+- 21600 0 0"/>
                  <a:gd name="T0" fmla="*/ 0 w 26941"/>
                  <a:gd name="T1" fmla="*/ 671 h 43200"/>
                  <a:gd name="T2" fmla="*/ 4869 w 26941"/>
                  <a:gd name="T3" fmla="*/ 43195 h 43200"/>
                  <a:gd name="T4" fmla="*/ 5341 w 26941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6941" h="43200" fill="none" extrusionOk="0">
                    <a:moveTo>
                      <a:pt x="-1" y="670"/>
                    </a:moveTo>
                    <a:cubicBezTo>
                      <a:pt x="1745" y="225"/>
                      <a:pt x="3539" y="-1"/>
                      <a:pt x="5341" y="0"/>
                    </a:cubicBezTo>
                    <a:cubicBezTo>
                      <a:pt x="17270" y="0"/>
                      <a:pt x="26941" y="9670"/>
                      <a:pt x="26941" y="21600"/>
                    </a:cubicBezTo>
                    <a:cubicBezTo>
                      <a:pt x="26941" y="33529"/>
                      <a:pt x="17270" y="43200"/>
                      <a:pt x="5341" y="43200"/>
                    </a:cubicBezTo>
                    <a:cubicBezTo>
                      <a:pt x="5183" y="43200"/>
                      <a:pt x="5026" y="43198"/>
                      <a:pt x="4869" y="43194"/>
                    </a:cubicBezTo>
                  </a:path>
                  <a:path w="26941" h="43200" stroke="0" extrusionOk="0">
                    <a:moveTo>
                      <a:pt x="-1" y="670"/>
                    </a:moveTo>
                    <a:cubicBezTo>
                      <a:pt x="1745" y="225"/>
                      <a:pt x="3539" y="-1"/>
                      <a:pt x="5341" y="0"/>
                    </a:cubicBezTo>
                    <a:cubicBezTo>
                      <a:pt x="17270" y="0"/>
                      <a:pt x="26941" y="9670"/>
                      <a:pt x="26941" y="21600"/>
                    </a:cubicBezTo>
                    <a:cubicBezTo>
                      <a:pt x="26941" y="33529"/>
                      <a:pt x="17270" y="43200"/>
                      <a:pt x="5341" y="43200"/>
                    </a:cubicBezTo>
                    <a:cubicBezTo>
                      <a:pt x="5183" y="43200"/>
                      <a:pt x="5026" y="43198"/>
                      <a:pt x="4869" y="43194"/>
                    </a:cubicBezTo>
                    <a:lnTo>
                      <a:pt x="5341" y="21600"/>
                    </a:lnTo>
                    <a:close/>
                  </a:path>
                </a:pathLst>
              </a:custGeom>
              <a:grpFill/>
              <a:ln w="9525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fr-FR"/>
              </a:p>
            </xdr:txBody>
          </xdr:sp>
          <xdr:grpSp>
            <xdr:nvGrpSpPr>
              <xdr:cNvPr id="42" name="Group 119">
                <a:extLst>
                  <a:ext uri="{FF2B5EF4-FFF2-40B4-BE49-F238E27FC236}">
                    <a16:creationId xmlns:a16="http://schemas.microsoft.com/office/drawing/2014/main" id="{90DACD28-3A9C-E0B8-36FC-63FB4594E859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3836" y="5317"/>
                <a:ext cx="1589" cy="826"/>
                <a:chOff x="4320" y="4511"/>
                <a:chExt cx="1336" cy="632"/>
              </a:xfrm>
              <a:grpFill/>
            </xdr:grpSpPr>
            <xdr:sp macro="" textlink="">
              <xdr:nvSpPr>
                <xdr:cNvPr id="43" name="Arc 120">
                  <a:extLst>
                    <a:ext uri="{FF2B5EF4-FFF2-40B4-BE49-F238E27FC236}">
                      <a16:creationId xmlns:a16="http://schemas.microsoft.com/office/drawing/2014/main" id="{6A3CA1EC-4F42-ADE8-53B0-66B47CEF61BA}"/>
                    </a:ext>
                  </a:extLst>
                </xdr:cNvPr>
                <xdr:cNvSpPr>
                  <a:spLocks/>
                </xdr:cNvSpPr>
              </xdr:nvSpPr>
              <xdr:spPr bwMode="auto">
                <a:xfrm rot="5391339">
                  <a:off x="4898" y="4077"/>
                  <a:ext cx="205" cy="1074"/>
                </a:xfrm>
                <a:custGeom>
                  <a:avLst/>
                  <a:gdLst>
                    <a:gd name="G0" fmla="+- 580 0 0"/>
                    <a:gd name="G1" fmla="+- 21590 0 0"/>
                    <a:gd name="G2" fmla="+- 21600 0 0"/>
                    <a:gd name="T0" fmla="*/ 1227 w 22180"/>
                    <a:gd name="T1" fmla="*/ 0 h 43190"/>
                    <a:gd name="T2" fmla="*/ 0 w 22180"/>
                    <a:gd name="T3" fmla="*/ 43182 h 43190"/>
                    <a:gd name="T4" fmla="*/ 580 w 22180"/>
                    <a:gd name="T5" fmla="*/ 21590 h 4319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22180" h="43190" fill="none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</a:path>
                    <a:path w="22180" h="43190" stroke="0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  <a:lnTo>
                        <a:pt x="580" y="21590"/>
                      </a:lnTo>
                      <a:close/>
                    </a:path>
                  </a:pathLst>
                </a:custGeom>
                <a:grpFill/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fr-FR"/>
                </a:p>
              </xdr:txBody>
            </xdr:sp>
            <xdr:sp macro="" textlink="">
              <xdr:nvSpPr>
                <xdr:cNvPr id="44" name="Arc 121">
                  <a:extLst>
                    <a:ext uri="{FF2B5EF4-FFF2-40B4-BE49-F238E27FC236}">
                      <a16:creationId xmlns:a16="http://schemas.microsoft.com/office/drawing/2014/main" id="{F5DAF834-20AD-A770-2381-EE4C9EA735F3}"/>
                    </a:ext>
                  </a:extLst>
                </xdr:cNvPr>
                <xdr:cNvSpPr>
                  <a:spLocks/>
                </xdr:cNvSpPr>
              </xdr:nvSpPr>
              <xdr:spPr bwMode="auto">
                <a:xfrm rot="5391339">
                  <a:off x="4885" y="4373"/>
                  <a:ext cx="205" cy="1336"/>
                </a:xfrm>
                <a:custGeom>
                  <a:avLst/>
                  <a:gdLst>
                    <a:gd name="G0" fmla="+- 580 0 0"/>
                    <a:gd name="G1" fmla="+- 21590 0 0"/>
                    <a:gd name="G2" fmla="+- 21600 0 0"/>
                    <a:gd name="T0" fmla="*/ 1227 w 22180"/>
                    <a:gd name="T1" fmla="*/ 0 h 43190"/>
                    <a:gd name="T2" fmla="*/ 0 w 22180"/>
                    <a:gd name="T3" fmla="*/ 43182 h 43190"/>
                    <a:gd name="T4" fmla="*/ 580 w 22180"/>
                    <a:gd name="T5" fmla="*/ 21590 h 4319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22180" h="43190" fill="none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</a:path>
                    <a:path w="22180" h="43190" stroke="0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  <a:lnTo>
                        <a:pt x="580" y="21590"/>
                      </a:lnTo>
                      <a:close/>
                    </a:path>
                  </a:pathLst>
                </a:custGeom>
                <a:grpFill/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fr-FR"/>
                </a:p>
              </xdr:txBody>
            </xdr:sp>
            <xdr:cxnSp macro="">
              <xdr:nvCxnSpPr>
                <xdr:cNvPr id="45" name="Line 122">
                  <a:extLst>
                    <a:ext uri="{FF2B5EF4-FFF2-40B4-BE49-F238E27FC236}">
                      <a16:creationId xmlns:a16="http://schemas.microsoft.com/office/drawing/2014/main" id="{A267083F-387C-1E18-D687-2500760ABB5F}"/>
                    </a:ext>
                  </a:extLst>
                </xdr:cNvPr>
                <xdr:cNvCxnSpPr/>
              </xdr:nvCxnSpPr>
              <xdr:spPr bwMode="auto">
                <a:xfrm flipH="1">
                  <a:off x="4320" y="4530"/>
                  <a:ext cx="135" cy="428"/>
                </a:xfrm>
                <a:prstGeom prst="line">
                  <a:avLst/>
                </a:prstGeom>
                <a:grpFill/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46" name="Line 123">
                  <a:extLst>
                    <a:ext uri="{FF2B5EF4-FFF2-40B4-BE49-F238E27FC236}">
                      <a16:creationId xmlns:a16="http://schemas.microsoft.com/office/drawing/2014/main" id="{FAD18713-F184-5E30-DA60-A8059E8C04A9}"/>
                    </a:ext>
                  </a:extLst>
                </xdr:cNvPr>
                <xdr:cNvCxnSpPr/>
              </xdr:nvCxnSpPr>
              <xdr:spPr bwMode="auto">
                <a:xfrm>
                  <a:off x="5528" y="4538"/>
                  <a:ext cx="127" cy="405"/>
                </a:xfrm>
                <a:prstGeom prst="line">
                  <a:avLst/>
                </a:prstGeom>
                <a:grpFill/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</xdr:grpSp>
        </xdr:grpSp>
        <xdr:sp macro="" textlink="">
          <xdr:nvSpPr>
            <xdr:cNvPr id="38" name="Arc 124">
              <a:extLst>
                <a:ext uri="{FF2B5EF4-FFF2-40B4-BE49-F238E27FC236}">
                  <a16:creationId xmlns:a16="http://schemas.microsoft.com/office/drawing/2014/main" id="{7C82E3BB-770E-73CC-F286-85CBA8CC1B53}"/>
                </a:ext>
              </a:extLst>
            </xdr:cNvPr>
            <xdr:cNvSpPr>
              <a:spLocks/>
            </xdr:cNvSpPr>
          </xdr:nvSpPr>
          <xdr:spPr bwMode="auto">
            <a:xfrm rot="5400000">
              <a:off x="4529" y="5833"/>
              <a:ext cx="209" cy="2078"/>
            </a:xfrm>
            <a:custGeom>
              <a:avLst/>
              <a:gdLst>
                <a:gd name="G0" fmla="+- 472 0 0"/>
                <a:gd name="G1" fmla="+- 21581 0 0"/>
                <a:gd name="G2" fmla="+- 21600 0 0"/>
                <a:gd name="T0" fmla="*/ 1388 w 22072"/>
                <a:gd name="T1" fmla="*/ 0 h 43181"/>
                <a:gd name="T2" fmla="*/ 0 w 22072"/>
                <a:gd name="T3" fmla="*/ 43176 h 43181"/>
                <a:gd name="T4" fmla="*/ 472 w 22072"/>
                <a:gd name="T5" fmla="*/ 21581 h 4318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22072" h="43181" fill="none" extrusionOk="0">
                  <a:moveTo>
                    <a:pt x="1387" y="0"/>
                  </a:moveTo>
                  <a:cubicBezTo>
                    <a:pt x="12950" y="491"/>
                    <a:pt x="22072" y="10007"/>
                    <a:pt x="22072" y="21581"/>
                  </a:cubicBezTo>
                  <a:cubicBezTo>
                    <a:pt x="22072" y="33510"/>
                    <a:pt x="12401" y="43181"/>
                    <a:pt x="472" y="43181"/>
                  </a:cubicBezTo>
                  <a:cubicBezTo>
                    <a:pt x="314" y="43181"/>
                    <a:pt x="157" y="43179"/>
                    <a:pt x="0" y="43175"/>
                  </a:cubicBezTo>
                </a:path>
                <a:path w="22072" h="43181" stroke="0" extrusionOk="0">
                  <a:moveTo>
                    <a:pt x="1387" y="0"/>
                  </a:moveTo>
                  <a:cubicBezTo>
                    <a:pt x="12950" y="491"/>
                    <a:pt x="22072" y="10007"/>
                    <a:pt x="22072" y="21581"/>
                  </a:cubicBezTo>
                  <a:cubicBezTo>
                    <a:pt x="22072" y="33510"/>
                    <a:pt x="12401" y="43181"/>
                    <a:pt x="472" y="43181"/>
                  </a:cubicBezTo>
                  <a:cubicBezTo>
                    <a:pt x="314" y="43181"/>
                    <a:pt x="157" y="43179"/>
                    <a:pt x="0" y="43175"/>
                  </a:cubicBezTo>
                  <a:lnTo>
                    <a:pt x="472" y="21581"/>
                  </a:lnTo>
                  <a:close/>
                </a:path>
              </a:pathLst>
            </a:custGeom>
            <a:grpFill/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fr-FR"/>
            </a:p>
          </xdr:txBody>
        </xdr:sp>
      </xdr:grpSp>
    </xdr:grpSp>
    <xdr:clientData/>
  </xdr:twoCellAnchor>
  <xdr:twoCellAnchor>
    <xdr:from>
      <xdr:col>18</xdr:col>
      <xdr:colOff>619125</xdr:colOff>
      <xdr:row>8</xdr:row>
      <xdr:rowOff>133350</xdr:rowOff>
    </xdr:from>
    <xdr:to>
      <xdr:col>19</xdr:col>
      <xdr:colOff>121285</xdr:colOff>
      <xdr:row>9</xdr:row>
      <xdr:rowOff>111123</xdr:rowOff>
    </xdr:to>
    <xdr:grpSp>
      <xdr:nvGrpSpPr>
        <xdr:cNvPr id="47" name="Group 112">
          <a:extLst>
            <a:ext uri="{FF2B5EF4-FFF2-40B4-BE49-F238E27FC236}">
              <a16:creationId xmlns:a16="http://schemas.microsoft.com/office/drawing/2014/main" id="{7B588A23-95C4-4BBB-842A-1731BF07A5A1}"/>
            </a:ext>
          </a:extLst>
        </xdr:cNvPr>
        <xdr:cNvGrpSpPr>
          <a:grpSpLocks/>
        </xdr:cNvGrpSpPr>
      </xdr:nvGrpSpPr>
      <xdr:grpSpPr bwMode="auto">
        <a:xfrm>
          <a:off x="12049125" y="1819275"/>
          <a:ext cx="216535" cy="168273"/>
          <a:chOff x="3126" y="3070"/>
          <a:chExt cx="3000" cy="4203"/>
        </a:xfrm>
        <a:scene3d>
          <a:camera prst="orthographicFront">
            <a:rot lat="0" lon="10800000" rev="0"/>
          </a:camera>
          <a:lightRig rig="threePt" dir="t"/>
        </a:scene3d>
      </xdr:grpSpPr>
      <xdr:sp macro="" textlink="">
        <xdr:nvSpPr>
          <xdr:cNvPr id="48" name="AutoShape 113">
            <a:extLst>
              <a:ext uri="{FF2B5EF4-FFF2-40B4-BE49-F238E27FC236}">
                <a16:creationId xmlns:a16="http://schemas.microsoft.com/office/drawing/2014/main" id="{94E2CB64-AF60-7744-03A7-835EED9ED872}"/>
              </a:ext>
            </a:extLst>
          </xdr:cNvPr>
          <xdr:cNvSpPr>
            <a:spLocks noChangeArrowheads="1"/>
          </xdr:cNvSpPr>
        </xdr:nvSpPr>
        <xdr:spPr bwMode="auto">
          <a:xfrm rot="-10786638">
            <a:off x="3126" y="6308"/>
            <a:ext cx="3000" cy="965"/>
          </a:xfrm>
          <a:custGeom>
            <a:avLst/>
            <a:gdLst>
              <a:gd name="G0" fmla="+- 2867 0 0"/>
              <a:gd name="G1" fmla="+- 21600 0 2867"/>
              <a:gd name="G2" fmla="*/ 2867 1 2"/>
              <a:gd name="G3" fmla="+- 21600 0 G2"/>
              <a:gd name="G4" fmla="+/ 2867 21600 2"/>
              <a:gd name="G5" fmla="+/ G1 0 2"/>
              <a:gd name="G6" fmla="*/ 21600 21600 2867"/>
              <a:gd name="G7" fmla="*/ G6 1 2"/>
              <a:gd name="G8" fmla="+- 21600 0 G7"/>
              <a:gd name="G9" fmla="*/ 21600 1 2"/>
              <a:gd name="G10" fmla="+- 2867 0 G9"/>
              <a:gd name="G11" fmla="?: G10 G8 0"/>
              <a:gd name="G12" fmla="?: G10 G7 21600"/>
              <a:gd name="T0" fmla="*/ 20166 w 21600"/>
              <a:gd name="T1" fmla="*/ 10800 h 21600"/>
              <a:gd name="T2" fmla="*/ 10800 w 21600"/>
              <a:gd name="T3" fmla="*/ 21600 h 21600"/>
              <a:gd name="T4" fmla="*/ 1434 w 21600"/>
              <a:gd name="T5" fmla="*/ 10800 h 21600"/>
              <a:gd name="T6" fmla="*/ 10800 w 21600"/>
              <a:gd name="T7" fmla="*/ 0 h 21600"/>
              <a:gd name="T8" fmla="*/ 3234 w 21600"/>
              <a:gd name="T9" fmla="*/ 3234 h 21600"/>
              <a:gd name="T10" fmla="*/ 18366 w 21600"/>
              <a:gd name="T11" fmla="*/ 18366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T8" t="T9" r="T10" b="T11"/>
            <a:pathLst>
              <a:path w="21600" h="21600">
                <a:moveTo>
                  <a:pt x="0" y="0"/>
                </a:moveTo>
                <a:lnTo>
                  <a:pt x="2867" y="21600"/>
                </a:lnTo>
                <a:lnTo>
                  <a:pt x="18733" y="21600"/>
                </a:lnTo>
                <a:lnTo>
                  <a:pt x="21600" y="0"/>
                </a:lnTo>
                <a:close/>
              </a:path>
            </a:pathLst>
          </a:custGeom>
          <a:noFill/>
          <a:ln w="9525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fr-FR"/>
          </a:p>
        </xdr:txBody>
      </xdr:sp>
      <xdr:grpSp>
        <xdr:nvGrpSpPr>
          <xdr:cNvPr id="49" name="Group 114">
            <a:extLst>
              <a:ext uri="{FF2B5EF4-FFF2-40B4-BE49-F238E27FC236}">
                <a16:creationId xmlns:a16="http://schemas.microsoft.com/office/drawing/2014/main" id="{1A4B038A-96A3-FA87-3B94-E0E6EFAB04BD}"/>
              </a:ext>
            </a:extLst>
          </xdr:cNvPr>
          <xdr:cNvGrpSpPr>
            <a:grpSpLocks/>
          </xdr:cNvGrpSpPr>
        </xdr:nvGrpSpPr>
        <xdr:grpSpPr bwMode="auto">
          <a:xfrm>
            <a:off x="3804" y="3070"/>
            <a:ext cx="1743" cy="3906"/>
            <a:chOff x="3584" y="3070"/>
            <a:chExt cx="2103" cy="3906"/>
          </a:xfrm>
        </xdr:grpSpPr>
        <xdr:grpSp>
          <xdr:nvGrpSpPr>
            <xdr:cNvPr id="50" name="Group 115">
              <a:extLst>
                <a:ext uri="{FF2B5EF4-FFF2-40B4-BE49-F238E27FC236}">
                  <a16:creationId xmlns:a16="http://schemas.microsoft.com/office/drawing/2014/main" id="{C2B7AECE-EFAE-BD8C-3C28-33D5613E9132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584" y="3070"/>
              <a:ext cx="2103" cy="3722"/>
              <a:chOff x="3584" y="3070"/>
              <a:chExt cx="2103" cy="3722"/>
            </a:xfrm>
          </xdr:grpSpPr>
          <xdr:sp macro="" textlink="">
            <xdr:nvSpPr>
              <xdr:cNvPr id="52" name="AutoShape 116">
                <a:extLst>
                  <a:ext uri="{FF2B5EF4-FFF2-40B4-BE49-F238E27FC236}">
                    <a16:creationId xmlns:a16="http://schemas.microsoft.com/office/drawing/2014/main" id="{BEE65081-738E-597D-8C84-62188D91AB1C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584" y="3070"/>
                <a:ext cx="2103" cy="3722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fr-FR"/>
              </a:p>
            </xdr:txBody>
          </xdr:sp>
          <xdr:sp macro="" textlink="">
            <xdr:nvSpPr>
              <xdr:cNvPr id="53" name="Arc 117">
                <a:extLst>
                  <a:ext uri="{FF2B5EF4-FFF2-40B4-BE49-F238E27FC236}">
                    <a16:creationId xmlns:a16="http://schemas.microsoft.com/office/drawing/2014/main" id="{B3C580E9-2D2D-47B8-E03F-C501449A0AF1}"/>
                  </a:ext>
                </a:extLst>
              </xdr:cNvPr>
              <xdr:cNvSpPr>
                <a:spLocks/>
              </xdr:cNvSpPr>
            </xdr:nvSpPr>
            <xdr:spPr bwMode="auto">
              <a:xfrm rot="5400000">
                <a:off x="4559" y="3857"/>
                <a:ext cx="138" cy="542"/>
              </a:xfrm>
              <a:custGeom>
                <a:avLst/>
                <a:gdLst>
                  <a:gd name="G0" fmla="+- 472 0 0"/>
                  <a:gd name="G1" fmla="+- 21600 0 0"/>
                  <a:gd name="G2" fmla="+- 21600 0 0"/>
                  <a:gd name="T0" fmla="*/ 472 w 22072"/>
                  <a:gd name="T1" fmla="*/ 0 h 43200"/>
                  <a:gd name="T2" fmla="*/ 0 w 22072"/>
                  <a:gd name="T3" fmla="*/ 43195 h 43200"/>
                  <a:gd name="T4" fmla="*/ 472 w 22072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2072" h="43200" fill="none" extrusionOk="0">
                    <a:moveTo>
                      <a:pt x="471" y="0"/>
                    </a:moveTo>
                    <a:cubicBezTo>
                      <a:pt x="12401" y="0"/>
                      <a:pt x="22072" y="9670"/>
                      <a:pt x="22072" y="21600"/>
                    </a:cubicBezTo>
                    <a:cubicBezTo>
                      <a:pt x="22072" y="33529"/>
                      <a:pt x="12401" y="43200"/>
                      <a:pt x="472" y="43200"/>
                    </a:cubicBezTo>
                    <a:cubicBezTo>
                      <a:pt x="314" y="43200"/>
                      <a:pt x="157" y="43198"/>
                      <a:pt x="0" y="43194"/>
                    </a:cubicBezTo>
                  </a:path>
                  <a:path w="22072" h="43200" stroke="0" extrusionOk="0">
                    <a:moveTo>
                      <a:pt x="471" y="0"/>
                    </a:moveTo>
                    <a:cubicBezTo>
                      <a:pt x="12401" y="0"/>
                      <a:pt x="22072" y="9670"/>
                      <a:pt x="22072" y="21600"/>
                    </a:cubicBezTo>
                    <a:cubicBezTo>
                      <a:pt x="22072" y="33529"/>
                      <a:pt x="12401" y="43200"/>
                      <a:pt x="472" y="43200"/>
                    </a:cubicBezTo>
                    <a:cubicBezTo>
                      <a:pt x="314" y="43200"/>
                      <a:pt x="157" y="43198"/>
                      <a:pt x="0" y="43194"/>
                    </a:cubicBezTo>
                    <a:lnTo>
                      <a:pt x="472" y="21600"/>
                    </a:lnTo>
                    <a:close/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fr-FR"/>
              </a:p>
            </xdr:txBody>
          </xdr:sp>
          <xdr:sp macro="" textlink="">
            <xdr:nvSpPr>
              <xdr:cNvPr id="54" name="Arc 118">
                <a:extLst>
                  <a:ext uri="{FF2B5EF4-FFF2-40B4-BE49-F238E27FC236}">
                    <a16:creationId xmlns:a16="http://schemas.microsoft.com/office/drawing/2014/main" id="{579F7D54-E6EE-EA46-F498-EED0B7C340ED}"/>
                  </a:ext>
                </a:extLst>
              </xdr:cNvPr>
              <xdr:cNvSpPr>
                <a:spLocks/>
              </xdr:cNvSpPr>
            </xdr:nvSpPr>
            <xdr:spPr bwMode="auto">
              <a:xfrm rot="5400000">
                <a:off x="4564" y="4168"/>
                <a:ext cx="147" cy="823"/>
              </a:xfrm>
              <a:custGeom>
                <a:avLst/>
                <a:gdLst>
                  <a:gd name="G0" fmla="+- 5341 0 0"/>
                  <a:gd name="G1" fmla="+- 21600 0 0"/>
                  <a:gd name="G2" fmla="+- 21600 0 0"/>
                  <a:gd name="T0" fmla="*/ 0 w 26941"/>
                  <a:gd name="T1" fmla="*/ 671 h 43200"/>
                  <a:gd name="T2" fmla="*/ 4869 w 26941"/>
                  <a:gd name="T3" fmla="*/ 43195 h 43200"/>
                  <a:gd name="T4" fmla="*/ 5341 w 26941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6941" h="43200" fill="none" extrusionOk="0">
                    <a:moveTo>
                      <a:pt x="-1" y="670"/>
                    </a:moveTo>
                    <a:cubicBezTo>
                      <a:pt x="1745" y="225"/>
                      <a:pt x="3539" y="-1"/>
                      <a:pt x="5341" y="0"/>
                    </a:cubicBezTo>
                    <a:cubicBezTo>
                      <a:pt x="17270" y="0"/>
                      <a:pt x="26941" y="9670"/>
                      <a:pt x="26941" y="21600"/>
                    </a:cubicBezTo>
                    <a:cubicBezTo>
                      <a:pt x="26941" y="33529"/>
                      <a:pt x="17270" y="43200"/>
                      <a:pt x="5341" y="43200"/>
                    </a:cubicBezTo>
                    <a:cubicBezTo>
                      <a:pt x="5183" y="43200"/>
                      <a:pt x="5026" y="43198"/>
                      <a:pt x="4869" y="43194"/>
                    </a:cubicBezTo>
                  </a:path>
                  <a:path w="26941" h="43200" stroke="0" extrusionOk="0">
                    <a:moveTo>
                      <a:pt x="-1" y="670"/>
                    </a:moveTo>
                    <a:cubicBezTo>
                      <a:pt x="1745" y="225"/>
                      <a:pt x="3539" y="-1"/>
                      <a:pt x="5341" y="0"/>
                    </a:cubicBezTo>
                    <a:cubicBezTo>
                      <a:pt x="17270" y="0"/>
                      <a:pt x="26941" y="9670"/>
                      <a:pt x="26941" y="21600"/>
                    </a:cubicBezTo>
                    <a:cubicBezTo>
                      <a:pt x="26941" y="33529"/>
                      <a:pt x="17270" y="43200"/>
                      <a:pt x="5341" y="43200"/>
                    </a:cubicBezTo>
                    <a:cubicBezTo>
                      <a:pt x="5183" y="43200"/>
                      <a:pt x="5026" y="43198"/>
                      <a:pt x="4869" y="43194"/>
                    </a:cubicBezTo>
                    <a:lnTo>
                      <a:pt x="5341" y="21600"/>
                    </a:lnTo>
                    <a:close/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fr-FR"/>
              </a:p>
            </xdr:txBody>
          </xdr:sp>
          <xdr:grpSp>
            <xdr:nvGrpSpPr>
              <xdr:cNvPr id="55" name="Group 119">
                <a:extLst>
                  <a:ext uri="{FF2B5EF4-FFF2-40B4-BE49-F238E27FC236}">
                    <a16:creationId xmlns:a16="http://schemas.microsoft.com/office/drawing/2014/main" id="{51F31FD9-9566-1568-9C93-E0300149F895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3836" y="5317"/>
                <a:ext cx="1589" cy="826"/>
                <a:chOff x="4320" y="4511"/>
                <a:chExt cx="1336" cy="632"/>
              </a:xfrm>
            </xdr:grpSpPr>
            <xdr:sp macro="" textlink="">
              <xdr:nvSpPr>
                <xdr:cNvPr id="56" name="Arc 120">
                  <a:extLst>
                    <a:ext uri="{FF2B5EF4-FFF2-40B4-BE49-F238E27FC236}">
                      <a16:creationId xmlns:a16="http://schemas.microsoft.com/office/drawing/2014/main" id="{13BFE4FC-C031-4D32-D715-FEE0E6AB247D}"/>
                    </a:ext>
                  </a:extLst>
                </xdr:cNvPr>
                <xdr:cNvSpPr>
                  <a:spLocks/>
                </xdr:cNvSpPr>
              </xdr:nvSpPr>
              <xdr:spPr bwMode="auto">
                <a:xfrm rot="5391339">
                  <a:off x="4898" y="4077"/>
                  <a:ext cx="205" cy="1074"/>
                </a:xfrm>
                <a:custGeom>
                  <a:avLst/>
                  <a:gdLst>
                    <a:gd name="G0" fmla="+- 580 0 0"/>
                    <a:gd name="G1" fmla="+- 21590 0 0"/>
                    <a:gd name="G2" fmla="+- 21600 0 0"/>
                    <a:gd name="T0" fmla="*/ 1227 w 22180"/>
                    <a:gd name="T1" fmla="*/ 0 h 43190"/>
                    <a:gd name="T2" fmla="*/ 0 w 22180"/>
                    <a:gd name="T3" fmla="*/ 43182 h 43190"/>
                    <a:gd name="T4" fmla="*/ 580 w 22180"/>
                    <a:gd name="T5" fmla="*/ 21590 h 4319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22180" h="43190" fill="none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</a:path>
                    <a:path w="22180" h="43190" stroke="0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  <a:lnTo>
                        <a:pt x="580" y="21590"/>
                      </a:lnTo>
                      <a:close/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fr-FR"/>
                </a:p>
              </xdr:txBody>
            </xdr:sp>
            <xdr:sp macro="" textlink="">
              <xdr:nvSpPr>
                <xdr:cNvPr id="57" name="Arc 121">
                  <a:extLst>
                    <a:ext uri="{FF2B5EF4-FFF2-40B4-BE49-F238E27FC236}">
                      <a16:creationId xmlns:a16="http://schemas.microsoft.com/office/drawing/2014/main" id="{A03532A3-5B5E-3BDF-82E2-E3162B5AEEE4}"/>
                    </a:ext>
                  </a:extLst>
                </xdr:cNvPr>
                <xdr:cNvSpPr>
                  <a:spLocks/>
                </xdr:cNvSpPr>
              </xdr:nvSpPr>
              <xdr:spPr bwMode="auto">
                <a:xfrm rot="5391339">
                  <a:off x="4885" y="4373"/>
                  <a:ext cx="205" cy="1336"/>
                </a:xfrm>
                <a:custGeom>
                  <a:avLst/>
                  <a:gdLst>
                    <a:gd name="G0" fmla="+- 580 0 0"/>
                    <a:gd name="G1" fmla="+- 21590 0 0"/>
                    <a:gd name="G2" fmla="+- 21600 0 0"/>
                    <a:gd name="T0" fmla="*/ 1227 w 22180"/>
                    <a:gd name="T1" fmla="*/ 0 h 43190"/>
                    <a:gd name="T2" fmla="*/ 0 w 22180"/>
                    <a:gd name="T3" fmla="*/ 43182 h 43190"/>
                    <a:gd name="T4" fmla="*/ 580 w 22180"/>
                    <a:gd name="T5" fmla="*/ 21590 h 4319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22180" h="43190" fill="none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</a:path>
                    <a:path w="22180" h="43190" stroke="0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  <a:lnTo>
                        <a:pt x="580" y="21590"/>
                      </a:lnTo>
                      <a:close/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fr-FR"/>
                </a:p>
              </xdr:txBody>
            </xdr:sp>
            <xdr:cxnSp macro="">
              <xdr:nvCxnSpPr>
                <xdr:cNvPr id="58" name="Line 122">
                  <a:extLst>
                    <a:ext uri="{FF2B5EF4-FFF2-40B4-BE49-F238E27FC236}">
                      <a16:creationId xmlns:a16="http://schemas.microsoft.com/office/drawing/2014/main" id="{1939D374-0458-91D5-AE10-463F1E5685CF}"/>
                    </a:ext>
                  </a:extLst>
                </xdr:cNvPr>
                <xdr:cNvCxnSpPr/>
              </xdr:nvCxnSpPr>
              <xdr:spPr bwMode="auto">
                <a:xfrm flipH="1">
                  <a:off x="4320" y="4530"/>
                  <a:ext cx="135" cy="42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59" name="Line 123">
                  <a:extLst>
                    <a:ext uri="{FF2B5EF4-FFF2-40B4-BE49-F238E27FC236}">
                      <a16:creationId xmlns:a16="http://schemas.microsoft.com/office/drawing/2014/main" id="{7E9F529C-175C-9955-0B43-18BD1AEAF089}"/>
                    </a:ext>
                  </a:extLst>
                </xdr:cNvPr>
                <xdr:cNvCxnSpPr/>
              </xdr:nvCxnSpPr>
              <xdr:spPr bwMode="auto">
                <a:xfrm>
                  <a:off x="5528" y="4538"/>
                  <a:ext cx="127" cy="40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</xdr:grpSp>
        <xdr:sp macro="" textlink="">
          <xdr:nvSpPr>
            <xdr:cNvPr id="51" name="Arc 124">
              <a:extLst>
                <a:ext uri="{FF2B5EF4-FFF2-40B4-BE49-F238E27FC236}">
                  <a16:creationId xmlns:a16="http://schemas.microsoft.com/office/drawing/2014/main" id="{6C64FD1F-5E59-56F3-C150-233329630BD4}"/>
                </a:ext>
              </a:extLst>
            </xdr:cNvPr>
            <xdr:cNvSpPr>
              <a:spLocks/>
            </xdr:cNvSpPr>
          </xdr:nvSpPr>
          <xdr:spPr bwMode="auto">
            <a:xfrm rot="5400000">
              <a:off x="4529" y="5833"/>
              <a:ext cx="209" cy="2078"/>
            </a:xfrm>
            <a:custGeom>
              <a:avLst/>
              <a:gdLst>
                <a:gd name="G0" fmla="+- 472 0 0"/>
                <a:gd name="G1" fmla="+- 21581 0 0"/>
                <a:gd name="G2" fmla="+- 21600 0 0"/>
                <a:gd name="T0" fmla="*/ 1388 w 22072"/>
                <a:gd name="T1" fmla="*/ 0 h 43181"/>
                <a:gd name="T2" fmla="*/ 0 w 22072"/>
                <a:gd name="T3" fmla="*/ 43176 h 43181"/>
                <a:gd name="T4" fmla="*/ 472 w 22072"/>
                <a:gd name="T5" fmla="*/ 21581 h 4318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22072" h="43181" fill="none" extrusionOk="0">
                  <a:moveTo>
                    <a:pt x="1387" y="0"/>
                  </a:moveTo>
                  <a:cubicBezTo>
                    <a:pt x="12950" y="491"/>
                    <a:pt x="22072" y="10007"/>
                    <a:pt x="22072" y="21581"/>
                  </a:cubicBezTo>
                  <a:cubicBezTo>
                    <a:pt x="22072" y="33510"/>
                    <a:pt x="12401" y="43181"/>
                    <a:pt x="472" y="43181"/>
                  </a:cubicBezTo>
                  <a:cubicBezTo>
                    <a:pt x="314" y="43181"/>
                    <a:pt x="157" y="43179"/>
                    <a:pt x="0" y="43175"/>
                  </a:cubicBezTo>
                </a:path>
                <a:path w="22072" h="43181" stroke="0" extrusionOk="0">
                  <a:moveTo>
                    <a:pt x="1387" y="0"/>
                  </a:moveTo>
                  <a:cubicBezTo>
                    <a:pt x="12950" y="491"/>
                    <a:pt x="22072" y="10007"/>
                    <a:pt x="22072" y="21581"/>
                  </a:cubicBezTo>
                  <a:cubicBezTo>
                    <a:pt x="22072" y="33510"/>
                    <a:pt x="12401" y="43181"/>
                    <a:pt x="472" y="43181"/>
                  </a:cubicBezTo>
                  <a:cubicBezTo>
                    <a:pt x="314" y="43181"/>
                    <a:pt x="157" y="43179"/>
                    <a:pt x="0" y="43175"/>
                  </a:cubicBezTo>
                  <a:lnTo>
                    <a:pt x="472" y="21581"/>
                  </a:ln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fr-FR"/>
            </a:p>
          </xdr:txBody>
        </xdr:sp>
      </xdr:grpSp>
    </xdr:grpSp>
    <xdr:clientData/>
  </xdr:twoCellAnchor>
  <xdr:twoCellAnchor>
    <xdr:from>
      <xdr:col>5</xdr:col>
      <xdr:colOff>676275</xdr:colOff>
      <xdr:row>8</xdr:row>
      <xdr:rowOff>79374</xdr:rowOff>
    </xdr:from>
    <xdr:to>
      <xdr:col>6</xdr:col>
      <xdr:colOff>178435</xdr:colOff>
      <xdr:row>9</xdr:row>
      <xdr:rowOff>111123</xdr:rowOff>
    </xdr:to>
    <xdr:grpSp>
      <xdr:nvGrpSpPr>
        <xdr:cNvPr id="60" name="Group 112">
          <a:extLst>
            <a:ext uri="{FF2B5EF4-FFF2-40B4-BE49-F238E27FC236}">
              <a16:creationId xmlns:a16="http://schemas.microsoft.com/office/drawing/2014/main" id="{38C260A8-D94D-430C-8214-75ADB394741F}"/>
            </a:ext>
          </a:extLst>
        </xdr:cNvPr>
        <xdr:cNvGrpSpPr>
          <a:grpSpLocks/>
        </xdr:cNvGrpSpPr>
      </xdr:nvGrpSpPr>
      <xdr:grpSpPr bwMode="auto">
        <a:xfrm>
          <a:off x="2819400" y="1765299"/>
          <a:ext cx="216535" cy="222249"/>
          <a:chOff x="3126" y="3070"/>
          <a:chExt cx="3000" cy="4203"/>
        </a:xfrm>
        <a:scene3d>
          <a:camera prst="orthographicFront">
            <a:rot lat="0" lon="10800000" rev="0"/>
          </a:camera>
          <a:lightRig rig="threePt" dir="t"/>
        </a:scene3d>
      </xdr:grpSpPr>
      <xdr:sp macro="" textlink="">
        <xdr:nvSpPr>
          <xdr:cNvPr id="61" name="AutoShape 113">
            <a:extLst>
              <a:ext uri="{FF2B5EF4-FFF2-40B4-BE49-F238E27FC236}">
                <a16:creationId xmlns:a16="http://schemas.microsoft.com/office/drawing/2014/main" id="{66744556-B36E-4B81-5BF2-F5FBE1E817E5}"/>
              </a:ext>
            </a:extLst>
          </xdr:cNvPr>
          <xdr:cNvSpPr>
            <a:spLocks noChangeArrowheads="1"/>
          </xdr:cNvSpPr>
        </xdr:nvSpPr>
        <xdr:spPr bwMode="auto">
          <a:xfrm rot="-10786638">
            <a:off x="3126" y="6308"/>
            <a:ext cx="3000" cy="965"/>
          </a:xfrm>
          <a:custGeom>
            <a:avLst/>
            <a:gdLst>
              <a:gd name="G0" fmla="+- 2867 0 0"/>
              <a:gd name="G1" fmla="+- 21600 0 2867"/>
              <a:gd name="G2" fmla="*/ 2867 1 2"/>
              <a:gd name="G3" fmla="+- 21600 0 G2"/>
              <a:gd name="G4" fmla="+/ 2867 21600 2"/>
              <a:gd name="G5" fmla="+/ G1 0 2"/>
              <a:gd name="G6" fmla="*/ 21600 21600 2867"/>
              <a:gd name="G7" fmla="*/ G6 1 2"/>
              <a:gd name="G8" fmla="+- 21600 0 G7"/>
              <a:gd name="G9" fmla="*/ 21600 1 2"/>
              <a:gd name="G10" fmla="+- 2867 0 G9"/>
              <a:gd name="G11" fmla="?: G10 G8 0"/>
              <a:gd name="G12" fmla="?: G10 G7 21600"/>
              <a:gd name="T0" fmla="*/ 20166 w 21600"/>
              <a:gd name="T1" fmla="*/ 10800 h 21600"/>
              <a:gd name="T2" fmla="*/ 10800 w 21600"/>
              <a:gd name="T3" fmla="*/ 21600 h 21600"/>
              <a:gd name="T4" fmla="*/ 1434 w 21600"/>
              <a:gd name="T5" fmla="*/ 10800 h 21600"/>
              <a:gd name="T6" fmla="*/ 10800 w 21600"/>
              <a:gd name="T7" fmla="*/ 0 h 21600"/>
              <a:gd name="T8" fmla="*/ 3234 w 21600"/>
              <a:gd name="T9" fmla="*/ 3234 h 21600"/>
              <a:gd name="T10" fmla="*/ 18366 w 21600"/>
              <a:gd name="T11" fmla="*/ 18366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T8" t="T9" r="T10" b="T11"/>
            <a:pathLst>
              <a:path w="21600" h="21600">
                <a:moveTo>
                  <a:pt x="0" y="0"/>
                </a:moveTo>
                <a:lnTo>
                  <a:pt x="2867" y="21600"/>
                </a:lnTo>
                <a:lnTo>
                  <a:pt x="18733" y="21600"/>
                </a:lnTo>
                <a:lnTo>
                  <a:pt x="21600" y="0"/>
                </a:lnTo>
                <a:close/>
              </a:path>
            </a:pathLst>
          </a:custGeom>
          <a:noFill/>
          <a:ln w="9525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fr-FR"/>
          </a:p>
        </xdr:txBody>
      </xdr:sp>
      <xdr:grpSp>
        <xdr:nvGrpSpPr>
          <xdr:cNvPr id="62" name="Group 114">
            <a:extLst>
              <a:ext uri="{FF2B5EF4-FFF2-40B4-BE49-F238E27FC236}">
                <a16:creationId xmlns:a16="http://schemas.microsoft.com/office/drawing/2014/main" id="{E888FDC2-ADF8-1CCD-5152-C88DF73AE4D7}"/>
              </a:ext>
            </a:extLst>
          </xdr:cNvPr>
          <xdr:cNvGrpSpPr>
            <a:grpSpLocks/>
          </xdr:cNvGrpSpPr>
        </xdr:nvGrpSpPr>
        <xdr:grpSpPr bwMode="auto">
          <a:xfrm>
            <a:off x="3804" y="3070"/>
            <a:ext cx="1743" cy="3906"/>
            <a:chOff x="3584" y="3070"/>
            <a:chExt cx="2103" cy="3906"/>
          </a:xfrm>
        </xdr:grpSpPr>
        <xdr:grpSp>
          <xdr:nvGrpSpPr>
            <xdr:cNvPr id="63" name="Group 115">
              <a:extLst>
                <a:ext uri="{FF2B5EF4-FFF2-40B4-BE49-F238E27FC236}">
                  <a16:creationId xmlns:a16="http://schemas.microsoft.com/office/drawing/2014/main" id="{35689F9C-87C7-E188-77E0-78A828454789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584" y="3070"/>
              <a:ext cx="2103" cy="3722"/>
              <a:chOff x="3584" y="3070"/>
              <a:chExt cx="2103" cy="3722"/>
            </a:xfrm>
          </xdr:grpSpPr>
          <xdr:sp macro="" textlink="">
            <xdr:nvSpPr>
              <xdr:cNvPr id="65" name="AutoShape 116">
                <a:extLst>
                  <a:ext uri="{FF2B5EF4-FFF2-40B4-BE49-F238E27FC236}">
                    <a16:creationId xmlns:a16="http://schemas.microsoft.com/office/drawing/2014/main" id="{BD17AC63-F3B1-15F2-AEE8-49DEBF3FD83E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584" y="3070"/>
                <a:ext cx="2103" cy="3722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fr-FR"/>
              </a:p>
            </xdr:txBody>
          </xdr:sp>
          <xdr:sp macro="" textlink="">
            <xdr:nvSpPr>
              <xdr:cNvPr id="66" name="Arc 117">
                <a:extLst>
                  <a:ext uri="{FF2B5EF4-FFF2-40B4-BE49-F238E27FC236}">
                    <a16:creationId xmlns:a16="http://schemas.microsoft.com/office/drawing/2014/main" id="{44FCDFFD-55C6-7BDA-40D9-FD6105FF6091}"/>
                  </a:ext>
                </a:extLst>
              </xdr:cNvPr>
              <xdr:cNvSpPr>
                <a:spLocks/>
              </xdr:cNvSpPr>
            </xdr:nvSpPr>
            <xdr:spPr bwMode="auto">
              <a:xfrm rot="5400000">
                <a:off x="4559" y="3857"/>
                <a:ext cx="138" cy="542"/>
              </a:xfrm>
              <a:custGeom>
                <a:avLst/>
                <a:gdLst>
                  <a:gd name="G0" fmla="+- 472 0 0"/>
                  <a:gd name="G1" fmla="+- 21600 0 0"/>
                  <a:gd name="G2" fmla="+- 21600 0 0"/>
                  <a:gd name="T0" fmla="*/ 472 w 22072"/>
                  <a:gd name="T1" fmla="*/ 0 h 43200"/>
                  <a:gd name="T2" fmla="*/ 0 w 22072"/>
                  <a:gd name="T3" fmla="*/ 43195 h 43200"/>
                  <a:gd name="T4" fmla="*/ 472 w 22072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2072" h="43200" fill="none" extrusionOk="0">
                    <a:moveTo>
                      <a:pt x="471" y="0"/>
                    </a:moveTo>
                    <a:cubicBezTo>
                      <a:pt x="12401" y="0"/>
                      <a:pt x="22072" y="9670"/>
                      <a:pt x="22072" y="21600"/>
                    </a:cubicBezTo>
                    <a:cubicBezTo>
                      <a:pt x="22072" y="33529"/>
                      <a:pt x="12401" y="43200"/>
                      <a:pt x="472" y="43200"/>
                    </a:cubicBezTo>
                    <a:cubicBezTo>
                      <a:pt x="314" y="43200"/>
                      <a:pt x="157" y="43198"/>
                      <a:pt x="0" y="43194"/>
                    </a:cubicBezTo>
                  </a:path>
                  <a:path w="22072" h="43200" stroke="0" extrusionOk="0">
                    <a:moveTo>
                      <a:pt x="471" y="0"/>
                    </a:moveTo>
                    <a:cubicBezTo>
                      <a:pt x="12401" y="0"/>
                      <a:pt x="22072" y="9670"/>
                      <a:pt x="22072" y="21600"/>
                    </a:cubicBezTo>
                    <a:cubicBezTo>
                      <a:pt x="22072" y="33529"/>
                      <a:pt x="12401" y="43200"/>
                      <a:pt x="472" y="43200"/>
                    </a:cubicBezTo>
                    <a:cubicBezTo>
                      <a:pt x="314" y="43200"/>
                      <a:pt x="157" y="43198"/>
                      <a:pt x="0" y="43194"/>
                    </a:cubicBezTo>
                    <a:lnTo>
                      <a:pt x="472" y="21600"/>
                    </a:lnTo>
                    <a:close/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fr-FR"/>
              </a:p>
            </xdr:txBody>
          </xdr:sp>
          <xdr:sp macro="" textlink="">
            <xdr:nvSpPr>
              <xdr:cNvPr id="67" name="Arc 118">
                <a:extLst>
                  <a:ext uri="{FF2B5EF4-FFF2-40B4-BE49-F238E27FC236}">
                    <a16:creationId xmlns:a16="http://schemas.microsoft.com/office/drawing/2014/main" id="{68CD3EA1-631D-6CBD-3963-0B77B1B90705}"/>
                  </a:ext>
                </a:extLst>
              </xdr:cNvPr>
              <xdr:cNvSpPr>
                <a:spLocks/>
              </xdr:cNvSpPr>
            </xdr:nvSpPr>
            <xdr:spPr bwMode="auto">
              <a:xfrm rot="5400000">
                <a:off x="4564" y="4168"/>
                <a:ext cx="147" cy="823"/>
              </a:xfrm>
              <a:custGeom>
                <a:avLst/>
                <a:gdLst>
                  <a:gd name="G0" fmla="+- 5341 0 0"/>
                  <a:gd name="G1" fmla="+- 21600 0 0"/>
                  <a:gd name="G2" fmla="+- 21600 0 0"/>
                  <a:gd name="T0" fmla="*/ 0 w 26941"/>
                  <a:gd name="T1" fmla="*/ 671 h 43200"/>
                  <a:gd name="T2" fmla="*/ 4869 w 26941"/>
                  <a:gd name="T3" fmla="*/ 43195 h 43200"/>
                  <a:gd name="T4" fmla="*/ 5341 w 26941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6941" h="43200" fill="none" extrusionOk="0">
                    <a:moveTo>
                      <a:pt x="-1" y="670"/>
                    </a:moveTo>
                    <a:cubicBezTo>
                      <a:pt x="1745" y="225"/>
                      <a:pt x="3539" y="-1"/>
                      <a:pt x="5341" y="0"/>
                    </a:cubicBezTo>
                    <a:cubicBezTo>
                      <a:pt x="17270" y="0"/>
                      <a:pt x="26941" y="9670"/>
                      <a:pt x="26941" y="21600"/>
                    </a:cubicBezTo>
                    <a:cubicBezTo>
                      <a:pt x="26941" y="33529"/>
                      <a:pt x="17270" y="43200"/>
                      <a:pt x="5341" y="43200"/>
                    </a:cubicBezTo>
                    <a:cubicBezTo>
                      <a:pt x="5183" y="43200"/>
                      <a:pt x="5026" y="43198"/>
                      <a:pt x="4869" y="43194"/>
                    </a:cubicBezTo>
                  </a:path>
                  <a:path w="26941" h="43200" stroke="0" extrusionOk="0">
                    <a:moveTo>
                      <a:pt x="-1" y="670"/>
                    </a:moveTo>
                    <a:cubicBezTo>
                      <a:pt x="1745" y="225"/>
                      <a:pt x="3539" y="-1"/>
                      <a:pt x="5341" y="0"/>
                    </a:cubicBezTo>
                    <a:cubicBezTo>
                      <a:pt x="17270" y="0"/>
                      <a:pt x="26941" y="9670"/>
                      <a:pt x="26941" y="21600"/>
                    </a:cubicBezTo>
                    <a:cubicBezTo>
                      <a:pt x="26941" y="33529"/>
                      <a:pt x="17270" y="43200"/>
                      <a:pt x="5341" y="43200"/>
                    </a:cubicBezTo>
                    <a:cubicBezTo>
                      <a:pt x="5183" y="43200"/>
                      <a:pt x="5026" y="43198"/>
                      <a:pt x="4869" y="43194"/>
                    </a:cubicBezTo>
                    <a:lnTo>
                      <a:pt x="5341" y="21600"/>
                    </a:lnTo>
                    <a:close/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fr-FR"/>
              </a:p>
            </xdr:txBody>
          </xdr:sp>
          <xdr:grpSp>
            <xdr:nvGrpSpPr>
              <xdr:cNvPr id="68" name="Group 119">
                <a:extLst>
                  <a:ext uri="{FF2B5EF4-FFF2-40B4-BE49-F238E27FC236}">
                    <a16:creationId xmlns:a16="http://schemas.microsoft.com/office/drawing/2014/main" id="{D1021008-DE3D-CCDC-AC8C-015E29020A5C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3836" y="5317"/>
                <a:ext cx="1589" cy="826"/>
                <a:chOff x="4320" y="4511"/>
                <a:chExt cx="1336" cy="632"/>
              </a:xfrm>
            </xdr:grpSpPr>
            <xdr:sp macro="" textlink="">
              <xdr:nvSpPr>
                <xdr:cNvPr id="69" name="Arc 120">
                  <a:extLst>
                    <a:ext uri="{FF2B5EF4-FFF2-40B4-BE49-F238E27FC236}">
                      <a16:creationId xmlns:a16="http://schemas.microsoft.com/office/drawing/2014/main" id="{8AE69370-7C0E-05C0-21F9-EC4787C4AF38}"/>
                    </a:ext>
                  </a:extLst>
                </xdr:cNvPr>
                <xdr:cNvSpPr>
                  <a:spLocks/>
                </xdr:cNvSpPr>
              </xdr:nvSpPr>
              <xdr:spPr bwMode="auto">
                <a:xfrm rot="5391339">
                  <a:off x="4898" y="4077"/>
                  <a:ext cx="205" cy="1074"/>
                </a:xfrm>
                <a:custGeom>
                  <a:avLst/>
                  <a:gdLst>
                    <a:gd name="G0" fmla="+- 580 0 0"/>
                    <a:gd name="G1" fmla="+- 21590 0 0"/>
                    <a:gd name="G2" fmla="+- 21600 0 0"/>
                    <a:gd name="T0" fmla="*/ 1227 w 22180"/>
                    <a:gd name="T1" fmla="*/ 0 h 43190"/>
                    <a:gd name="T2" fmla="*/ 0 w 22180"/>
                    <a:gd name="T3" fmla="*/ 43182 h 43190"/>
                    <a:gd name="T4" fmla="*/ 580 w 22180"/>
                    <a:gd name="T5" fmla="*/ 21590 h 4319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22180" h="43190" fill="none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</a:path>
                    <a:path w="22180" h="43190" stroke="0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  <a:lnTo>
                        <a:pt x="580" y="21590"/>
                      </a:lnTo>
                      <a:close/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fr-FR"/>
                </a:p>
              </xdr:txBody>
            </xdr:sp>
            <xdr:sp macro="" textlink="">
              <xdr:nvSpPr>
                <xdr:cNvPr id="70" name="Arc 121">
                  <a:extLst>
                    <a:ext uri="{FF2B5EF4-FFF2-40B4-BE49-F238E27FC236}">
                      <a16:creationId xmlns:a16="http://schemas.microsoft.com/office/drawing/2014/main" id="{3AADC99D-3BF3-AFF0-B940-B99E3705CC82}"/>
                    </a:ext>
                  </a:extLst>
                </xdr:cNvPr>
                <xdr:cNvSpPr>
                  <a:spLocks/>
                </xdr:cNvSpPr>
              </xdr:nvSpPr>
              <xdr:spPr bwMode="auto">
                <a:xfrm rot="5391339">
                  <a:off x="4885" y="4373"/>
                  <a:ext cx="205" cy="1336"/>
                </a:xfrm>
                <a:custGeom>
                  <a:avLst/>
                  <a:gdLst>
                    <a:gd name="G0" fmla="+- 580 0 0"/>
                    <a:gd name="G1" fmla="+- 21590 0 0"/>
                    <a:gd name="G2" fmla="+- 21600 0 0"/>
                    <a:gd name="T0" fmla="*/ 1227 w 22180"/>
                    <a:gd name="T1" fmla="*/ 0 h 43190"/>
                    <a:gd name="T2" fmla="*/ 0 w 22180"/>
                    <a:gd name="T3" fmla="*/ 43182 h 43190"/>
                    <a:gd name="T4" fmla="*/ 580 w 22180"/>
                    <a:gd name="T5" fmla="*/ 21590 h 4319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22180" h="43190" fill="none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</a:path>
                    <a:path w="22180" h="43190" stroke="0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  <a:lnTo>
                        <a:pt x="580" y="21590"/>
                      </a:lnTo>
                      <a:close/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fr-FR"/>
                </a:p>
              </xdr:txBody>
            </xdr:sp>
            <xdr:cxnSp macro="">
              <xdr:nvCxnSpPr>
                <xdr:cNvPr id="71" name="Line 122">
                  <a:extLst>
                    <a:ext uri="{FF2B5EF4-FFF2-40B4-BE49-F238E27FC236}">
                      <a16:creationId xmlns:a16="http://schemas.microsoft.com/office/drawing/2014/main" id="{DDB0989A-7FE2-9FB4-77D3-B7FF630670CA}"/>
                    </a:ext>
                  </a:extLst>
                </xdr:cNvPr>
                <xdr:cNvCxnSpPr/>
              </xdr:nvCxnSpPr>
              <xdr:spPr bwMode="auto">
                <a:xfrm flipH="1">
                  <a:off x="4320" y="4530"/>
                  <a:ext cx="135" cy="42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72" name="Line 123">
                  <a:extLst>
                    <a:ext uri="{FF2B5EF4-FFF2-40B4-BE49-F238E27FC236}">
                      <a16:creationId xmlns:a16="http://schemas.microsoft.com/office/drawing/2014/main" id="{CB8D6217-9226-3C6D-6987-48F219BFB9A2}"/>
                    </a:ext>
                  </a:extLst>
                </xdr:cNvPr>
                <xdr:cNvCxnSpPr/>
              </xdr:nvCxnSpPr>
              <xdr:spPr bwMode="auto">
                <a:xfrm>
                  <a:off x="5528" y="4538"/>
                  <a:ext cx="127" cy="40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</xdr:grpSp>
        <xdr:sp macro="" textlink="">
          <xdr:nvSpPr>
            <xdr:cNvPr id="64" name="Arc 124">
              <a:extLst>
                <a:ext uri="{FF2B5EF4-FFF2-40B4-BE49-F238E27FC236}">
                  <a16:creationId xmlns:a16="http://schemas.microsoft.com/office/drawing/2014/main" id="{A16848F5-A64E-A389-8E9A-D26894BDF323}"/>
                </a:ext>
              </a:extLst>
            </xdr:cNvPr>
            <xdr:cNvSpPr>
              <a:spLocks/>
            </xdr:cNvSpPr>
          </xdr:nvSpPr>
          <xdr:spPr bwMode="auto">
            <a:xfrm rot="5400000">
              <a:off x="4529" y="5833"/>
              <a:ext cx="209" cy="2078"/>
            </a:xfrm>
            <a:custGeom>
              <a:avLst/>
              <a:gdLst>
                <a:gd name="G0" fmla="+- 472 0 0"/>
                <a:gd name="G1" fmla="+- 21581 0 0"/>
                <a:gd name="G2" fmla="+- 21600 0 0"/>
                <a:gd name="T0" fmla="*/ 1388 w 22072"/>
                <a:gd name="T1" fmla="*/ 0 h 43181"/>
                <a:gd name="T2" fmla="*/ 0 w 22072"/>
                <a:gd name="T3" fmla="*/ 43176 h 43181"/>
                <a:gd name="T4" fmla="*/ 472 w 22072"/>
                <a:gd name="T5" fmla="*/ 21581 h 4318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22072" h="43181" fill="none" extrusionOk="0">
                  <a:moveTo>
                    <a:pt x="1387" y="0"/>
                  </a:moveTo>
                  <a:cubicBezTo>
                    <a:pt x="12950" y="491"/>
                    <a:pt x="22072" y="10007"/>
                    <a:pt x="22072" y="21581"/>
                  </a:cubicBezTo>
                  <a:cubicBezTo>
                    <a:pt x="22072" y="33510"/>
                    <a:pt x="12401" y="43181"/>
                    <a:pt x="472" y="43181"/>
                  </a:cubicBezTo>
                  <a:cubicBezTo>
                    <a:pt x="314" y="43181"/>
                    <a:pt x="157" y="43179"/>
                    <a:pt x="0" y="43175"/>
                  </a:cubicBezTo>
                </a:path>
                <a:path w="22072" h="43181" stroke="0" extrusionOk="0">
                  <a:moveTo>
                    <a:pt x="1387" y="0"/>
                  </a:moveTo>
                  <a:cubicBezTo>
                    <a:pt x="12950" y="491"/>
                    <a:pt x="22072" y="10007"/>
                    <a:pt x="22072" y="21581"/>
                  </a:cubicBezTo>
                  <a:cubicBezTo>
                    <a:pt x="22072" y="33510"/>
                    <a:pt x="12401" y="43181"/>
                    <a:pt x="472" y="43181"/>
                  </a:cubicBezTo>
                  <a:cubicBezTo>
                    <a:pt x="314" y="43181"/>
                    <a:pt x="157" y="43179"/>
                    <a:pt x="0" y="43175"/>
                  </a:cubicBezTo>
                  <a:lnTo>
                    <a:pt x="472" y="21581"/>
                  </a:ln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fr-FR"/>
            </a:p>
          </xdr:txBody>
        </xdr:sp>
      </xdr:grpSp>
    </xdr:grpSp>
    <xdr:clientData/>
  </xdr:twoCellAnchor>
  <xdr:oneCellAnchor>
    <xdr:from>
      <xdr:col>5</xdr:col>
      <xdr:colOff>538163</xdr:colOff>
      <xdr:row>4</xdr:row>
      <xdr:rowOff>116681</xdr:rowOff>
    </xdr:from>
    <xdr:ext cx="601190" cy="264560"/>
    <xdr:sp macro="" textlink="">
      <xdr:nvSpPr>
        <xdr:cNvPr id="73" name="ZoneTexte 72">
          <a:extLst>
            <a:ext uri="{FF2B5EF4-FFF2-40B4-BE49-F238E27FC236}">
              <a16:creationId xmlns:a16="http://schemas.microsoft.com/office/drawing/2014/main" id="{ECF04C64-A265-46AC-9F88-5FA8FDEC9D4E}"/>
            </a:ext>
          </a:extLst>
        </xdr:cNvPr>
        <xdr:cNvSpPr txBox="1"/>
      </xdr:nvSpPr>
      <xdr:spPr>
        <a:xfrm>
          <a:off x="2681288" y="1040606"/>
          <a:ext cx="6011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>
              <a:solidFill>
                <a:sysClr val="windowText" lastClr="000000"/>
              </a:solidFill>
            </a:rPr>
            <a:t>Arrivée</a:t>
          </a:r>
        </a:p>
      </xdr:txBody>
    </xdr:sp>
    <xdr:clientData/>
  </xdr:oneCellAnchor>
  <xdr:oneCellAnchor>
    <xdr:from>
      <xdr:col>19</xdr:col>
      <xdr:colOff>323850</xdr:colOff>
      <xdr:row>6</xdr:row>
      <xdr:rowOff>152400</xdr:rowOff>
    </xdr:from>
    <xdr:ext cx="1139992" cy="436786"/>
    <xdr:sp macro="" textlink="">
      <xdr:nvSpPr>
        <xdr:cNvPr id="74" name="ZoneTexte 73">
          <a:extLst>
            <a:ext uri="{FF2B5EF4-FFF2-40B4-BE49-F238E27FC236}">
              <a16:creationId xmlns:a16="http://schemas.microsoft.com/office/drawing/2014/main" id="{A5F3B1A6-8A3A-4141-8463-84D13D5783E3}"/>
            </a:ext>
          </a:extLst>
        </xdr:cNvPr>
        <xdr:cNvSpPr txBox="1"/>
      </xdr:nvSpPr>
      <xdr:spPr>
        <a:xfrm>
          <a:off x="12468225" y="1457325"/>
          <a:ext cx="1139992" cy="436786"/>
        </a:xfrm>
        <a:prstGeom prst="rect">
          <a:avLst/>
        </a:prstGeom>
        <a:gradFill>
          <a:gsLst>
            <a:gs pos="0">
              <a:schemeClr val="bg1">
                <a:lumMod val="75000"/>
              </a:schemeClr>
            </a:gs>
            <a:gs pos="100000">
              <a:schemeClr val="bg1"/>
            </a:gs>
          </a:gsLst>
          <a:lin ang="16200000" scaled="1"/>
        </a:gra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/>
            <a:t>Point de départ </a:t>
          </a:r>
        </a:p>
        <a:p>
          <a:r>
            <a:rPr lang="fr-FR" sz="1100"/>
            <a:t>du Donneur</a:t>
          </a:r>
        </a:p>
      </xdr:txBody>
    </xdr:sp>
    <xdr:clientData/>
  </xdr:oneCellAnchor>
  <xdr:oneCellAnchor>
    <xdr:from>
      <xdr:col>12</xdr:col>
      <xdr:colOff>590550</xdr:colOff>
      <xdr:row>6</xdr:row>
      <xdr:rowOff>38100</xdr:rowOff>
    </xdr:from>
    <xdr:ext cx="1108124" cy="436786"/>
    <xdr:sp macro="" textlink="">
      <xdr:nvSpPr>
        <xdr:cNvPr id="75" name="ZoneTexte 74">
          <a:extLst>
            <a:ext uri="{FF2B5EF4-FFF2-40B4-BE49-F238E27FC236}">
              <a16:creationId xmlns:a16="http://schemas.microsoft.com/office/drawing/2014/main" id="{7910AAC8-1CF2-4A81-AB99-6A2B98F2A2ED}"/>
            </a:ext>
          </a:extLst>
        </xdr:cNvPr>
        <xdr:cNvSpPr txBox="1"/>
      </xdr:nvSpPr>
      <xdr:spPr>
        <a:xfrm>
          <a:off x="7734300" y="1343025"/>
          <a:ext cx="1108124" cy="436786"/>
        </a:xfrm>
        <a:prstGeom prst="rect">
          <a:avLst/>
        </a:prstGeom>
        <a:gradFill>
          <a:gsLst>
            <a:gs pos="0">
              <a:schemeClr val="bg1">
                <a:lumMod val="75000"/>
              </a:schemeClr>
            </a:gs>
            <a:gs pos="100000">
              <a:schemeClr val="bg1"/>
            </a:gs>
          </a:gsLst>
          <a:lin ang="16200000" scaled="1"/>
        </a:gra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>
              <a:solidFill>
                <a:sysClr val="windowText" lastClr="000000"/>
              </a:solidFill>
            </a:rPr>
            <a:t>Point </a:t>
          </a:r>
          <a:r>
            <a:rPr lang="fr-FR" sz="1100">
              <a:solidFill>
                <a:schemeClr val="tx1"/>
              </a:solidFill>
              <a:latin typeface="+mn-lt"/>
              <a:ea typeface="+mn-ea"/>
              <a:cs typeface="+mn-cs"/>
            </a:rPr>
            <a:t>de</a:t>
          </a:r>
          <a:r>
            <a:rPr lang="fr-FR" sz="1100">
              <a:solidFill>
                <a:sysClr val="windowText" lastClr="000000"/>
              </a:solidFill>
            </a:rPr>
            <a:t> départ </a:t>
          </a:r>
        </a:p>
        <a:p>
          <a:r>
            <a:rPr lang="fr-FR" sz="1100">
              <a:solidFill>
                <a:sysClr val="windowText" lastClr="000000"/>
              </a:solidFill>
            </a:rPr>
            <a:t>du Receveur</a:t>
          </a:r>
        </a:p>
      </xdr:txBody>
    </xdr:sp>
    <xdr:clientData/>
  </xdr:oneCellAnchor>
  <xdr:twoCellAnchor>
    <xdr:from>
      <xdr:col>10</xdr:col>
      <xdr:colOff>314325</xdr:colOff>
      <xdr:row>11</xdr:row>
      <xdr:rowOff>85725</xdr:rowOff>
    </xdr:from>
    <xdr:to>
      <xdr:col>14</xdr:col>
      <xdr:colOff>362325</xdr:colOff>
      <xdr:row>11</xdr:row>
      <xdr:rowOff>95250</xdr:rowOff>
    </xdr:to>
    <xdr:cxnSp macro="">
      <xdr:nvCxnSpPr>
        <xdr:cNvPr id="76" name="Connecteur droit avec flèche 75">
          <a:extLst>
            <a:ext uri="{FF2B5EF4-FFF2-40B4-BE49-F238E27FC236}">
              <a16:creationId xmlns:a16="http://schemas.microsoft.com/office/drawing/2014/main" id="{253E4A3A-1F03-4DA3-89D2-09E953DB282B}"/>
            </a:ext>
          </a:extLst>
        </xdr:cNvPr>
        <xdr:cNvCxnSpPr/>
      </xdr:nvCxnSpPr>
      <xdr:spPr>
        <a:xfrm>
          <a:off x="6029325" y="2343150"/>
          <a:ext cx="2905500" cy="9525"/>
        </a:xfrm>
        <a:prstGeom prst="straightConnector1">
          <a:avLst/>
        </a:prstGeom>
        <a:ln w="19050">
          <a:solidFill>
            <a:srgbClr val="FF0000"/>
          </a:solidFill>
          <a:headEnd type="diamond"/>
          <a:tailEnd type="diamon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180975</xdr:colOff>
      <xdr:row>11</xdr:row>
      <xdr:rowOff>76200</xdr:rowOff>
    </xdr:from>
    <xdr:to>
      <xdr:col>14</xdr:col>
      <xdr:colOff>676275</xdr:colOff>
      <xdr:row>12</xdr:row>
      <xdr:rowOff>150260</xdr:rowOff>
    </xdr:to>
    <xdr:sp macro="" textlink="">
      <xdr:nvSpPr>
        <xdr:cNvPr id="77" name="ZoneTexte 76">
          <a:extLst>
            <a:ext uri="{FF2B5EF4-FFF2-40B4-BE49-F238E27FC236}">
              <a16:creationId xmlns:a16="http://schemas.microsoft.com/office/drawing/2014/main" id="{A67DB31A-1DB8-4451-A716-5AB33133AC62}"/>
            </a:ext>
          </a:extLst>
        </xdr:cNvPr>
        <xdr:cNvSpPr txBox="1"/>
      </xdr:nvSpPr>
      <xdr:spPr>
        <a:xfrm>
          <a:off x="8753475" y="2333625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 sz="1100">
              <a:solidFill>
                <a:srgbClr val="FF0000"/>
              </a:solidFill>
            </a:rPr>
            <a:t>20 m</a:t>
          </a:r>
        </a:p>
      </xdr:txBody>
    </xdr:sp>
    <xdr:clientData/>
  </xdr:twoCellAnchor>
  <xdr:twoCellAnchor>
    <xdr:from>
      <xdr:col>10</xdr:col>
      <xdr:colOff>142875</xdr:colOff>
      <xdr:row>11</xdr:row>
      <xdr:rowOff>66675</xdr:rowOff>
    </xdr:from>
    <xdr:to>
      <xdr:col>10</xdr:col>
      <xdr:colOff>638175</xdr:colOff>
      <xdr:row>12</xdr:row>
      <xdr:rowOff>140735</xdr:rowOff>
    </xdr:to>
    <xdr:sp macro="" textlink="">
      <xdr:nvSpPr>
        <xdr:cNvPr id="78" name="ZoneTexte 77">
          <a:extLst>
            <a:ext uri="{FF2B5EF4-FFF2-40B4-BE49-F238E27FC236}">
              <a16:creationId xmlns:a16="http://schemas.microsoft.com/office/drawing/2014/main" id="{DF94D0DA-8F71-453C-864C-184D5D9833F1}"/>
            </a:ext>
          </a:extLst>
        </xdr:cNvPr>
        <xdr:cNvSpPr txBox="1"/>
      </xdr:nvSpPr>
      <xdr:spPr>
        <a:xfrm>
          <a:off x="5857875" y="2324100"/>
          <a:ext cx="495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 sz="1100">
              <a:solidFill>
                <a:srgbClr val="FF0000"/>
              </a:solidFill>
            </a:rPr>
            <a:t>40 m</a:t>
          </a:r>
        </a:p>
      </xdr:txBody>
    </xdr:sp>
    <xdr:clientData/>
  </xdr:twoCellAnchor>
  <xdr:oneCellAnchor>
    <xdr:from>
      <xdr:col>11</xdr:col>
      <xdr:colOff>28575</xdr:colOff>
      <xdr:row>11</xdr:row>
      <xdr:rowOff>66675</xdr:rowOff>
    </xdr:from>
    <xdr:ext cx="2310825" cy="264560"/>
    <xdr:sp macro="" textlink="">
      <xdr:nvSpPr>
        <xdr:cNvPr id="79" name="ZoneTexte 78">
          <a:extLst>
            <a:ext uri="{FF2B5EF4-FFF2-40B4-BE49-F238E27FC236}">
              <a16:creationId xmlns:a16="http://schemas.microsoft.com/office/drawing/2014/main" id="{12351366-2BD0-415A-8593-FF4B87AD2975}"/>
            </a:ext>
          </a:extLst>
        </xdr:cNvPr>
        <xdr:cNvSpPr txBox="1"/>
      </xdr:nvSpPr>
      <xdr:spPr>
        <a:xfrm>
          <a:off x="6457950" y="2324100"/>
          <a:ext cx="23108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 anchorCtr="1">
          <a:spAutoFit/>
        </a:bodyPr>
        <a:lstStyle/>
        <a:p>
          <a:r>
            <a:rPr lang="fr-FR" sz="1100">
              <a:solidFill>
                <a:srgbClr val="FF0000"/>
              </a:solidFill>
            </a:rPr>
            <a:t>Zone d'élan et de transmission (20m)</a:t>
          </a:r>
        </a:p>
      </xdr:txBody>
    </xdr:sp>
    <xdr:clientData/>
  </xdr:oneCellAnchor>
  <xdr:oneCellAnchor>
    <xdr:from>
      <xdr:col>15</xdr:col>
      <xdr:colOff>162338</xdr:colOff>
      <xdr:row>6</xdr:row>
      <xdr:rowOff>28991</xdr:rowOff>
    </xdr:from>
    <xdr:ext cx="2645465" cy="609013"/>
    <xdr:sp macro="" textlink="">
      <xdr:nvSpPr>
        <xdr:cNvPr id="80" name="ZoneTexte 79">
          <a:extLst>
            <a:ext uri="{FF2B5EF4-FFF2-40B4-BE49-F238E27FC236}">
              <a16:creationId xmlns:a16="http://schemas.microsoft.com/office/drawing/2014/main" id="{14D58B09-63DD-4501-B774-84C0EE40E87E}"/>
            </a:ext>
          </a:extLst>
        </xdr:cNvPr>
        <xdr:cNvSpPr txBox="1"/>
      </xdr:nvSpPr>
      <xdr:spPr>
        <a:xfrm>
          <a:off x="9449213" y="1333916"/>
          <a:ext cx="2645465" cy="609013"/>
        </a:xfrm>
        <a:prstGeom prst="rect">
          <a:avLst/>
        </a:prstGeom>
        <a:gradFill>
          <a:gsLst>
            <a:gs pos="0">
              <a:schemeClr val="accent6">
                <a:lumMod val="60000"/>
                <a:lumOff val="40000"/>
              </a:schemeClr>
            </a:gs>
            <a:gs pos="100000">
              <a:schemeClr val="bg1"/>
            </a:gs>
            <a:gs pos="100000">
              <a:schemeClr val="bg1"/>
            </a:gs>
          </a:gsLst>
          <a:lin ang="16200000" scaled="1"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>
              <a:solidFill>
                <a:schemeClr val="accent6">
                  <a:lumMod val="50000"/>
                </a:schemeClr>
              </a:solidFill>
            </a:rPr>
            <a:t>Distance théorique de la marque pour un passage du témoin à 15m du départ du receveur</a:t>
          </a:r>
        </a:p>
      </xdr:txBody>
    </xdr:sp>
    <xdr:clientData/>
  </xdr:oneCellAnchor>
  <xdr:twoCellAnchor>
    <xdr:from>
      <xdr:col>14</xdr:col>
      <xdr:colOff>390525</xdr:colOff>
      <xdr:row>11</xdr:row>
      <xdr:rowOff>95250</xdr:rowOff>
    </xdr:from>
    <xdr:to>
      <xdr:col>15</xdr:col>
      <xdr:colOff>742950</xdr:colOff>
      <xdr:row>11</xdr:row>
      <xdr:rowOff>95250</xdr:rowOff>
    </xdr:to>
    <xdr:cxnSp macro="">
      <xdr:nvCxnSpPr>
        <xdr:cNvPr id="81" name="Connecteur droit avec flèche 80">
          <a:extLst>
            <a:ext uri="{FF2B5EF4-FFF2-40B4-BE49-F238E27FC236}">
              <a16:creationId xmlns:a16="http://schemas.microsoft.com/office/drawing/2014/main" id="{56B033F0-B8CC-4A80-AA32-0A6FEDFD9782}"/>
            </a:ext>
          </a:extLst>
        </xdr:cNvPr>
        <xdr:cNvCxnSpPr/>
      </xdr:nvCxnSpPr>
      <xdr:spPr>
        <a:xfrm>
          <a:off x="8963025" y="2352675"/>
          <a:ext cx="1038225" cy="0"/>
        </a:xfrm>
        <a:prstGeom prst="straightConnector1">
          <a:avLst/>
        </a:prstGeom>
        <a:ln w="25400">
          <a:solidFill>
            <a:schemeClr val="accent6">
              <a:lumMod val="50000"/>
            </a:schemeClr>
          </a:solidFill>
          <a:headEnd type="stealth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742950</xdr:colOff>
      <xdr:row>6</xdr:row>
      <xdr:rowOff>9525</xdr:rowOff>
    </xdr:from>
    <xdr:to>
      <xdr:col>19</xdr:col>
      <xdr:colOff>9525</xdr:colOff>
      <xdr:row>6</xdr:row>
      <xdr:rowOff>9525</xdr:rowOff>
    </xdr:to>
    <xdr:cxnSp macro="">
      <xdr:nvCxnSpPr>
        <xdr:cNvPr id="82" name="Connecteur droit avec flèche 81">
          <a:extLst>
            <a:ext uri="{FF2B5EF4-FFF2-40B4-BE49-F238E27FC236}">
              <a16:creationId xmlns:a16="http://schemas.microsoft.com/office/drawing/2014/main" id="{F406DD7E-9201-4079-AADA-E630CE49F3C3}"/>
            </a:ext>
          </a:extLst>
        </xdr:cNvPr>
        <xdr:cNvCxnSpPr/>
      </xdr:nvCxnSpPr>
      <xdr:spPr>
        <a:xfrm>
          <a:off x="2857500" y="1314450"/>
          <a:ext cx="9296400" cy="0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61912</xdr:colOff>
      <xdr:row>4</xdr:row>
      <xdr:rowOff>47625</xdr:rowOff>
    </xdr:from>
    <xdr:to>
      <xdr:col>12</xdr:col>
      <xdr:colOff>534093</xdr:colOff>
      <xdr:row>5</xdr:row>
      <xdr:rowOff>121685</xdr:rowOff>
    </xdr:to>
    <xdr:sp macro="" textlink="">
      <xdr:nvSpPr>
        <xdr:cNvPr id="83" name="ZoneTexte 82">
          <a:extLst>
            <a:ext uri="{FF2B5EF4-FFF2-40B4-BE49-F238E27FC236}">
              <a16:creationId xmlns:a16="http://schemas.microsoft.com/office/drawing/2014/main" id="{77B739F4-D251-4725-9EBC-0E5FB8542640}"/>
            </a:ext>
          </a:extLst>
        </xdr:cNvPr>
        <xdr:cNvSpPr txBox="1"/>
      </xdr:nvSpPr>
      <xdr:spPr>
        <a:xfrm>
          <a:off x="7205662" y="971550"/>
          <a:ext cx="4721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fr-FR" sz="1100">
              <a:solidFill>
                <a:sysClr val="windowText" lastClr="000000"/>
              </a:solidFill>
            </a:rPr>
            <a:t>30 m</a:t>
          </a:r>
        </a:p>
      </xdr:txBody>
    </xdr:sp>
    <xdr:clientData/>
  </xdr:twoCellAnchor>
  <xdr:twoCellAnchor>
    <xdr:from>
      <xdr:col>18</xdr:col>
      <xdr:colOff>469106</xdr:colOff>
      <xdr:row>3</xdr:row>
      <xdr:rowOff>90487</xdr:rowOff>
    </xdr:from>
    <xdr:to>
      <xdr:col>19</xdr:col>
      <xdr:colOff>298293</xdr:colOff>
      <xdr:row>5</xdr:row>
      <xdr:rowOff>147637</xdr:rowOff>
    </xdr:to>
    <xdr:sp macro="" textlink="">
      <xdr:nvSpPr>
        <xdr:cNvPr id="84" name="ZoneTexte 83">
          <a:extLst>
            <a:ext uri="{FF2B5EF4-FFF2-40B4-BE49-F238E27FC236}">
              <a16:creationId xmlns:a16="http://schemas.microsoft.com/office/drawing/2014/main" id="{D72F24D0-A8F7-4678-9DF1-B7359B65EC8F}"/>
            </a:ext>
          </a:extLst>
        </xdr:cNvPr>
        <xdr:cNvSpPr txBox="1"/>
      </xdr:nvSpPr>
      <xdr:spPr>
        <a:xfrm>
          <a:off x="11899106" y="823912"/>
          <a:ext cx="543562" cy="4381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fr-FR" sz="1100"/>
            <a:t>0 m</a:t>
          </a:r>
        </a:p>
        <a:p>
          <a:pPr algn="ctr"/>
          <a:r>
            <a:rPr lang="fr-FR" sz="1100"/>
            <a:t>Départ</a:t>
          </a:r>
        </a:p>
      </xdr:txBody>
    </xdr:sp>
    <xdr:clientData/>
  </xdr:twoCellAnchor>
  <xdr:twoCellAnchor>
    <xdr:from>
      <xdr:col>5</xdr:col>
      <xdr:colOff>628650</xdr:colOff>
      <xdr:row>3</xdr:row>
      <xdr:rowOff>185737</xdr:rowOff>
    </xdr:from>
    <xdr:to>
      <xdr:col>6</xdr:col>
      <xdr:colOff>338831</xdr:colOff>
      <xdr:row>5</xdr:row>
      <xdr:rowOff>69297</xdr:rowOff>
    </xdr:to>
    <xdr:sp macro="" textlink="">
      <xdr:nvSpPr>
        <xdr:cNvPr id="85" name="ZoneTexte 84">
          <a:extLst>
            <a:ext uri="{FF2B5EF4-FFF2-40B4-BE49-F238E27FC236}">
              <a16:creationId xmlns:a16="http://schemas.microsoft.com/office/drawing/2014/main" id="{23D5AF63-9D7E-48B8-8334-05F1F1AD80CE}"/>
            </a:ext>
          </a:extLst>
        </xdr:cNvPr>
        <xdr:cNvSpPr txBox="1"/>
      </xdr:nvSpPr>
      <xdr:spPr>
        <a:xfrm>
          <a:off x="2771775" y="919162"/>
          <a:ext cx="42455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fr-FR" sz="1100"/>
            <a:t>60 m</a:t>
          </a:r>
        </a:p>
      </xdr:txBody>
    </xdr:sp>
    <xdr:clientData/>
  </xdr:twoCellAnchor>
  <xdr:twoCellAnchor>
    <xdr:from>
      <xdr:col>7</xdr:col>
      <xdr:colOff>321469</xdr:colOff>
      <xdr:row>6</xdr:row>
      <xdr:rowOff>19049</xdr:rowOff>
    </xdr:from>
    <xdr:to>
      <xdr:col>10</xdr:col>
      <xdr:colOff>655333</xdr:colOff>
      <xdr:row>8</xdr:row>
      <xdr:rowOff>85724</xdr:rowOff>
    </xdr:to>
    <xdr:sp macro="" textlink="">
      <xdr:nvSpPr>
        <xdr:cNvPr id="86" name="ZoneTexte 85">
          <a:extLst>
            <a:ext uri="{FF2B5EF4-FFF2-40B4-BE49-F238E27FC236}">
              <a16:creationId xmlns:a16="http://schemas.microsoft.com/office/drawing/2014/main" id="{4157565F-9DC0-49BD-BEBF-5C61BE502DA5}"/>
            </a:ext>
          </a:extLst>
        </xdr:cNvPr>
        <xdr:cNvSpPr txBox="1"/>
      </xdr:nvSpPr>
      <xdr:spPr>
        <a:xfrm>
          <a:off x="3893344" y="1323974"/>
          <a:ext cx="2476989" cy="447675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r>
            <a:rPr lang="fr-FR" sz="1100"/>
            <a:t>Point de transmission théorique à </a:t>
          </a:r>
          <a:r>
            <a:rPr lang="fr-FR" sz="1100" b="1"/>
            <a:t>15m</a:t>
          </a:r>
        </a:p>
        <a:p>
          <a:pPr algn="ctr"/>
          <a:r>
            <a:rPr lang="fr-FR" sz="1100" b="0"/>
            <a:t>du point</a:t>
          </a:r>
          <a:r>
            <a:rPr lang="fr-FR" sz="1100" b="0" baseline="0"/>
            <a:t> de départ du receveur</a:t>
          </a:r>
          <a:endParaRPr lang="fr-FR" sz="1100" b="0"/>
        </a:p>
      </xdr:txBody>
    </xdr:sp>
    <xdr:clientData/>
  </xdr:twoCellAnchor>
  <xdr:twoCellAnchor>
    <xdr:from>
      <xdr:col>11</xdr:col>
      <xdr:colOff>371475</xdr:colOff>
      <xdr:row>13</xdr:row>
      <xdr:rowOff>114300</xdr:rowOff>
    </xdr:from>
    <xdr:to>
      <xdr:col>19</xdr:col>
      <xdr:colOff>51449</xdr:colOff>
      <xdr:row>13</xdr:row>
      <xdr:rowOff>114300</xdr:rowOff>
    </xdr:to>
    <xdr:cxnSp macro="">
      <xdr:nvCxnSpPr>
        <xdr:cNvPr id="87" name="Connecteur droit avec flèche 86">
          <a:extLst>
            <a:ext uri="{FF2B5EF4-FFF2-40B4-BE49-F238E27FC236}">
              <a16:creationId xmlns:a16="http://schemas.microsoft.com/office/drawing/2014/main" id="{03308CCB-4456-4863-B54B-B64FE2D1D6C4}"/>
            </a:ext>
          </a:extLst>
        </xdr:cNvPr>
        <xdr:cNvCxnSpPr/>
      </xdr:nvCxnSpPr>
      <xdr:spPr>
        <a:xfrm>
          <a:off x="6800850" y="2752725"/>
          <a:ext cx="5394974" cy="0"/>
        </a:xfrm>
        <a:prstGeom prst="straightConnector1">
          <a:avLst/>
        </a:prstGeom>
        <a:ln w="19050">
          <a:solidFill>
            <a:schemeClr val="accent3">
              <a:lumMod val="60000"/>
              <a:lumOff val="40000"/>
            </a:schemeClr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9525</xdr:colOff>
      <xdr:row>13</xdr:row>
      <xdr:rowOff>114300</xdr:rowOff>
    </xdr:from>
    <xdr:to>
      <xdr:col>11</xdr:col>
      <xdr:colOff>419100</xdr:colOff>
      <xdr:row>13</xdr:row>
      <xdr:rowOff>114300</xdr:rowOff>
    </xdr:to>
    <xdr:cxnSp macro="">
      <xdr:nvCxnSpPr>
        <xdr:cNvPr id="88" name="Connecteur droit avec flèche 87">
          <a:extLst>
            <a:ext uri="{FF2B5EF4-FFF2-40B4-BE49-F238E27FC236}">
              <a16:creationId xmlns:a16="http://schemas.microsoft.com/office/drawing/2014/main" id="{78CA265D-AC95-4A74-BA69-ED2F91292CFE}"/>
            </a:ext>
          </a:extLst>
        </xdr:cNvPr>
        <xdr:cNvCxnSpPr/>
      </xdr:nvCxnSpPr>
      <xdr:spPr>
        <a:xfrm>
          <a:off x="2867025" y="2752725"/>
          <a:ext cx="3981450" cy="0"/>
        </a:xfrm>
        <a:prstGeom prst="straightConnector1">
          <a:avLst/>
        </a:prstGeom>
        <a:ln w="19050">
          <a:solidFill>
            <a:schemeClr val="accent3">
              <a:lumMod val="60000"/>
              <a:lumOff val="40000"/>
            </a:schemeClr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666751</xdr:colOff>
      <xdr:row>12</xdr:row>
      <xdr:rowOff>38100</xdr:rowOff>
    </xdr:from>
    <xdr:ext cx="4448174" cy="264560"/>
    <xdr:sp macro="" textlink="">
      <xdr:nvSpPr>
        <xdr:cNvPr id="89" name="ZoneTexte 88">
          <a:extLst>
            <a:ext uri="{FF2B5EF4-FFF2-40B4-BE49-F238E27FC236}">
              <a16:creationId xmlns:a16="http://schemas.microsoft.com/office/drawing/2014/main" id="{11B6D915-7405-4A0E-B5DA-73E7FAFE463C}"/>
            </a:ext>
          </a:extLst>
        </xdr:cNvPr>
        <xdr:cNvSpPr txBox="1"/>
      </xdr:nvSpPr>
      <xdr:spPr>
        <a:xfrm>
          <a:off x="2809876" y="2486025"/>
          <a:ext cx="444817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fr-FR" sz="1100">
              <a:solidFill>
                <a:schemeClr val="accent3">
                  <a:lumMod val="75000"/>
                </a:schemeClr>
              </a:solidFill>
            </a:rPr>
            <a:t>Distance </a:t>
          </a:r>
          <a:r>
            <a:rPr lang="fr-FR" sz="1100">
              <a:solidFill>
                <a:schemeClr val="accent3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théorique </a:t>
          </a:r>
          <a:r>
            <a:rPr lang="fr-FR" sz="1100">
              <a:solidFill>
                <a:schemeClr val="accent3">
                  <a:lumMod val="75000"/>
                </a:schemeClr>
              </a:solidFill>
            </a:rPr>
            <a:t>parcourue par le receveur: 25 m départ lancé</a:t>
          </a:r>
        </a:p>
      </xdr:txBody>
    </xdr:sp>
    <xdr:clientData/>
  </xdr:oneCellAnchor>
  <xdr:oneCellAnchor>
    <xdr:from>
      <xdr:col>13</xdr:col>
      <xdr:colOff>93686</xdr:colOff>
      <xdr:row>12</xdr:row>
      <xdr:rowOff>47625</xdr:rowOff>
    </xdr:from>
    <xdr:ext cx="3904531" cy="264560"/>
    <xdr:sp macro="" textlink="">
      <xdr:nvSpPr>
        <xdr:cNvPr id="90" name="ZoneTexte 89">
          <a:extLst>
            <a:ext uri="{FF2B5EF4-FFF2-40B4-BE49-F238E27FC236}">
              <a16:creationId xmlns:a16="http://schemas.microsoft.com/office/drawing/2014/main" id="{F7BA87EC-4629-43AB-AE11-1F99DA7E4FA9}"/>
            </a:ext>
          </a:extLst>
        </xdr:cNvPr>
        <xdr:cNvSpPr txBox="1"/>
      </xdr:nvSpPr>
      <xdr:spPr>
        <a:xfrm>
          <a:off x="7951811" y="2495550"/>
          <a:ext cx="39045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fr-FR" sz="1100">
              <a:solidFill>
                <a:schemeClr val="accent3">
                  <a:lumMod val="75000"/>
                </a:schemeClr>
              </a:solidFill>
            </a:rPr>
            <a:t>Distance théorique parcourue par le donneur: 35 m départ</a:t>
          </a:r>
          <a:r>
            <a:rPr lang="fr-FR" sz="1100" baseline="0">
              <a:solidFill>
                <a:schemeClr val="accent3">
                  <a:lumMod val="75000"/>
                </a:schemeClr>
              </a:solidFill>
            </a:rPr>
            <a:t> </a:t>
          </a:r>
          <a:r>
            <a:rPr lang="fr-FR" sz="1100">
              <a:solidFill>
                <a:schemeClr val="accent3">
                  <a:lumMod val="75000"/>
                </a:schemeClr>
              </a:solidFill>
            </a:rPr>
            <a:t>arrêté</a:t>
          </a:r>
        </a:p>
      </xdr:txBody>
    </xdr:sp>
    <xdr:clientData/>
  </xdr:oneCellAnchor>
  <xdr:twoCellAnchor>
    <xdr:from>
      <xdr:col>19</xdr:col>
      <xdr:colOff>95251</xdr:colOff>
      <xdr:row>9</xdr:row>
      <xdr:rowOff>17687</xdr:rowOff>
    </xdr:from>
    <xdr:to>
      <xdr:col>20</xdr:col>
      <xdr:colOff>131846</xdr:colOff>
      <xdr:row>10</xdr:row>
      <xdr:rowOff>66675</xdr:rowOff>
    </xdr:to>
    <xdr:cxnSp macro="">
      <xdr:nvCxnSpPr>
        <xdr:cNvPr id="91" name="Connecteur : en arc 90">
          <a:extLst>
            <a:ext uri="{FF2B5EF4-FFF2-40B4-BE49-F238E27FC236}">
              <a16:creationId xmlns:a16="http://schemas.microsoft.com/office/drawing/2014/main" id="{1F4DA83F-2B0E-4331-A773-FD4BEFB056A1}"/>
            </a:ext>
          </a:extLst>
        </xdr:cNvPr>
        <xdr:cNvCxnSpPr>
          <a:stCxn id="74" idx="2"/>
        </xdr:cNvCxnSpPr>
      </xdr:nvCxnSpPr>
      <xdr:spPr>
        <a:xfrm rot="5400000">
          <a:off x="12495367" y="1638371"/>
          <a:ext cx="239488" cy="750970"/>
        </a:xfrm>
        <a:prstGeom prst="curvedConnector2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407460</xdr:colOff>
      <xdr:row>8</xdr:row>
      <xdr:rowOff>106309</xdr:rowOff>
    </xdr:from>
    <xdr:to>
      <xdr:col>14</xdr:col>
      <xdr:colOff>301073</xdr:colOff>
      <xdr:row>10</xdr:row>
      <xdr:rowOff>79098</xdr:rowOff>
    </xdr:to>
    <xdr:cxnSp macro="">
      <xdr:nvCxnSpPr>
        <xdr:cNvPr id="92" name="Connecteur : en arc 91">
          <a:extLst>
            <a:ext uri="{FF2B5EF4-FFF2-40B4-BE49-F238E27FC236}">
              <a16:creationId xmlns:a16="http://schemas.microsoft.com/office/drawing/2014/main" id="{EE5F353D-0758-42F3-ABB0-E75930C5FAB3}"/>
            </a:ext>
          </a:extLst>
        </xdr:cNvPr>
        <xdr:cNvCxnSpPr/>
      </xdr:nvCxnSpPr>
      <xdr:spPr>
        <a:xfrm rot="16200000" flipH="1">
          <a:off x="8392684" y="1665135"/>
          <a:ext cx="353789" cy="607988"/>
        </a:xfrm>
        <a:prstGeom prst="curvedConnector2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266699</xdr:colOff>
      <xdr:row>8</xdr:row>
      <xdr:rowOff>152400</xdr:rowOff>
    </xdr:from>
    <xdr:to>
      <xdr:col>11</xdr:col>
      <xdr:colOff>521334</xdr:colOff>
      <xdr:row>9</xdr:row>
      <xdr:rowOff>120648</xdr:rowOff>
    </xdr:to>
    <xdr:grpSp>
      <xdr:nvGrpSpPr>
        <xdr:cNvPr id="93" name="Group 112">
          <a:extLst>
            <a:ext uri="{FF2B5EF4-FFF2-40B4-BE49-F238E27FC236}">
              <a16:creationId xmlns:a16="http://schemas.microsoft.com/office/drawing/2014/main" id="{E5E5D620-935B-4BCB-91D0-D1E7829DE249}"/>
            </a:ext>
          </a:extLst>
        </xdr:cNvPr>
        <xdr:cNvGrpSpPr>
          <a:grpSpLocks/>
        </xdr:cNvGrpSpPr>
      </xdr:nvGrpSpPr>
      <xdr:grpSpPr bwMode="auto">
        <a:xfrm>
          <a:off x="6696074" y="1838325"/>
          <a:ext cx="254635" cy="158748"/>
          <a:chOff x="3126" y="3070"/>
          <a:chExt cx="3000" cy="4203"/>
        </a:xfrm>
        <a:scene3d>
          <a:camera prst="orthographicFront">
            <a:rot lat="0" lon="10800000" rev="0"/>
          </a:camera>
          <a:lightRig rig="threePt" dir="t"/>
        </a:scene3d>
      </xdr:grpSpPr>
      <xdr:sp macro="" textlink="">
        <xdr:nvSpPr>
          <xdr:cNvPr id="94" name="AutoShape 113">
            <a:extLst>
              <a:ext uri="{FF2B5EF4-FFF2-40B4-BE49-F238E27FC236}">
                <a16:creationId xmlns:a16="http://schemas.microsoft.com/office/drawing/2014/main" id="{5DB0134F-8736-C279-F575-49C140211E97}"/>
              </a:ext>
            </a:extLst>
          </xdr:cNvPr>
          <xdr:cNvSpPr>
            <a:spLocks noChangeArrowheads="1"/>
          </xdr:cNvSpPr>
        </xdr:nvSpPr>
        <xdr:spPr bwMode="auto">
          <a:xfrm rot="-10786638">
            <a:off x="3126" y="6308"/>
            <a:ext cx="3000" cy="965"/>
          </a:xfrm>
          <a:custGeom>
            <a:avLst/>
            <a:gdLst>
              <a:gd name="G0" fmla="+- 2867 0 0"/>
              <a:gd name="G1" fmla="+- 21600 0 2867"/>
              <a:gd name="G2" fmla="*/ 2867 1 2"/>
              <a:gd name="G3" fmla="+- 21600 0 G2"/>
              <a:gd name="G4" fmla="+/ 2867 21600 2"/>
              <a:gd name="G5" fmla="+/ G1 0 2"/>
              <a:gd name="G6" fmla="*/ 21600 21600 2867"/>
              <a:gd name="G7" fmla="*/ G6 1 2"/>
              <a:gd name="G8" fmla="+- 21600 0 G7"/>
              <a:gd name="G9" fmla="*/ 21600 1 2"/>
              <a:gd name="G10" fmla="+- 2867 0 G9"/>
              <a:gd name="G11" fmla="?: G10 G8 0"/>
              <a:gd name="G12" fmla="?: G10 G7 21600"/>
              <a:gd name="T0" fmla="*/ 20166 w 21600"/>
              <a:gd name="T1" fmla="*/ 10800 h 21600"/>
              <a:gd name="T2" fmla="*/ 10800 w 21600"/>
              <a:gd name="T3" fmla="*/ 21600 h 21600"/>
              <a:gd name="T4" fmla="*/ 1434 w 21600"/>
              <a:gd name="T5" fmla="*/ 10800 h 21600"/>
              <a:gd name="T6" fmla="*/ 10800 w 21600"/>
              <a:gd name="T7" fmla="*/ 0 h 21600"/>
              <a:gd name="T8" fmla="*/ 3234 w 21600"/>
              <a:gd name="T9" fmla="*/ 3234 h 21600"/>
              <a:gd name="T10" fmla="*/ 18366 w 21600"/>
              <a:gd name="T11" fmla="*/ 18366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T8" t="T9" r="T10" b="T11"/>
            <a:pathLst>
              <a:path w="21600" h="21600">
                <a:moveTo>
                  <a:pt x="0" y="0"/>
                </a:moveTo>
                <a:lnTo>
                  <a:pt x="2867" y="21600"/>
                </a:lnTo>
                <a:lnTo>
                  <a:pt x="18733" y="21600"/>
                </a:lnTo>
                <a:lnTo>
                  <a:pt x="21600" y="0"/>
                </a:lnTo>
                <a:close/>
              </a:path>
            </a:pathLst>
          </a:custGeom>
          <a:solidFill>
            <a:schemeClr val="accent3"/>
          </a:solidFill>
          <a:ln w="9525">
            <a:solidFill>
              <a:schemeClr val="tx1"/>
            </a:solidFill>
            <a:miter lim="800000"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fr-FR"/>
          </a:p>
        </xdr:txBody>
      </xdr:sp>
      <xdr:grpSp>
        <xdr:nvGrpSpPr>
          <xdr:cNvPr id="95" name="Group 114">
            <a:extLst>
              <a:ext uri="{FF2B5EF4-FFF2-40B4-BE49-F238E27FC236}">
                <a16:creationId xmlns:a16="http://schemas.microsoft.com/office/drawing/2014/main" id="{4C458208-5C64-8F1C-604C-94C0D3778433}"/>
              </a:ext>
            </a:extLst>
          </xdr:cNvPr>
          <xdr:cNvGrpSpPr>
            <a:grpSpLocks/>
          </xdr:cNvGrpSpPr>
        </xdr:nvGrpSpPr>
        <xdr:grpSpPr bwMode="auto">
          <a:xfrm>
            <a:off x="3804" y="3070"/>
            <a:ext cx="1743" cy="3906"/>
            <a:chOff x="3584" y="3070"/>
            <a:chExt cx="2103" cy="3906"/>
          </a:xfrm>
        </xdr:grpSpPr>
        <xdr:grpSp>
          <xdr:nvGrpSpPr>
            <xdr:cNvPr id="96" name="Group 115">
              <a:extLst>
                <a:ext uri="{FF2B5EF4-FFF2-40B4-BE49-F238E27FC236}">
                  <a16:creationId xmlns:a16="http://schemas.microsoft.com/office/drawing/2014/main" id="{E68692DC-D55F-993C-DAF8-44900EB18424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584" y="3070"/>
              <a:ext cx="2103" cy="3722"/>
              <a:chOff x="3584" y="3070"/>
              <a:chExt cx="2103" cy="3722"/>
            </a:xfrm>
          </xdr:grpSpPr>
          <xdr:sp macro="" textlink="">
            <xdr:nvSpPr>
              <xdr:cNvPr id="98" name="AutoShape 116">
                <a:extLst>
                  <a:ext uri="{FF2B5EF4-FFF2-40B4-BE49-F238E27FC236}">
                    <a16:creationId xmlns:a16="http://schemas.microsoft.com/office/drawing/2014/main" id="{7BC26A0E-8F11-9E4F-813C-3C74B7DA8D0F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584" y="3070"/>
                <a:ext cx="2103" cy="3722"/>
              </a:xfrm>
              <a:prstGeom prst="triangle">
                <a:avLst>
                  <a:gd name="adj" fmla="val 50000"/>
                </a:avLst>
              </a:prstGeom>
              <a:solidFill>
                <a:schemeClr val="accent3"/>
              </a:solidFill>
              <a:ln w="9525">
                <a:solidFill>
                  <a:schemeClr val="tx1"/>
                </a:solidFill>
                <a:miter lim="800000"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fr-FR"/>
              </a:p>
            </xdr:txBody>
          </xdr:sp>
          <xdr:sp macro="" textlink="">
            <xdr:nvSpPr>
              <xdr:cNvPr id="99" name="Arc 117">
                <a:extLst>
                  <a:ext uri="{FF2B5EF4-FFF2-40B4-BE49-F238E27FC236}">
                    <a16:creationId xmlns:a16="http://schemas.microsoft.com/office/drawing/2014/main" id="{9F5824C3-EEF4-2E88-BCF9-6F28D43999F2}"/>
                  </a:ext>
                </a:extLst>
              </xdr:cNvPr>
              <xdr:cNvSpPr>
                <a:spLocks/>
              </xdr:cNvSpPr>
            </xdr:nvSpPr>
            <xdr:spPr bwMode="auto">
              <a:xfrm rot="5400000">
                <a:off x="4559" y="3857"/>
                <a:ext cx="138" cy="542"/>
              </a:xfrm>
              <a:custGeom>
                <a:avLst/>
                <a:gdLst>
                  <a:gd name="G0" fmla="+- 472 0 0"/>
                  <a:gd name="G1" fmla="+- 21600 0 0"/>
                  <a:gd name="G2" fmla="+- 21600 0 0"/>
                  <a:gd name="T0" fmla="*/ 472 w 22072"/>
                  <a:gd name="T1" fmla="*/ 0 h 43200"/>
                  <a:gd name="T2" fmla="*/ 0 w 22072"/>
                  <a:gd name="T3" fmla="*/ 43195 h 43200"/>
                  <a:gd name="T4" fmla="*/ 472 w 22072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2072" h="43200" fill="none" extrusionOk="0">
                    <a:moveTo>
                      <a:pt x="471" y="0"/>
                    </a:moveTo>
                    <a:cubicBezTo>
                      <a:pt x="12401" y="0"/>
                      <a:pt x="22072" y="9670"/>
                      <a:pt x="22072" y="21600"/>
                    </a:cubicBezTo>
                    <a:cubicBezTo>
                      <a:pt x="22072" y="33529"/>
                      <a:pt x="12401" y="43200"/>
                      <a:pt x="472" y="43200"/>
                    </a:cubicBezTo>
                    <a:cubicBezTo>
                      <a:pt x="314" y="43200"/>
                      <a:pt x="157" y="43198"/>
                      <a:pt x="0" y="43194"/>
                    </a:cubicBezTo>
                  </a:path>
                  <a:path w="22072" h="43200" stroke="0" extrusionOk="0">
                    <a:moveTo>
                      <a:pt x="471" y="0"/>
                    </a:moveTo>
                    <a:cubicBezTo>
                      <a:pt x="12401" y="0"/>
                      <a:pt x="22072" y="9670"/>
                      <a:pt x="22072" y="21600"/>
                    </a:cubicBezTo>
                    <a:cubicBezTo>
                      <a:pt x="22072" y="33529"/>
                      <a:pt x="12401" y="43200"/>
                      <a:pt x="472" y="43200"/>
                    </a:cubicBezTo>
                    <a:cubicBezTo>
                      <a:pt x="314" y="43200"/>
                      <a:pt x="157" y="43198"/>
                      <a:pt x="0" y="43194"/>
                    </a:cubicBezTo>
                    <a:lnTo>
                      <a:pt x="472" y="21600"/>
                    </a:lnTo>
                    <a:close/>
                  </a:path>
                </a:pathLst>
              </a:custGeom>
              <a:noFill/>
              <a:ln w="9525">
                <a:solidFill>
                  <a:schemeClr val="tx1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fr-FR"/>
              </a:p>
            </xdr:txBody>
          </xdr:sp>
          <xdr:sp macro="" textlink="">
            <xdr:nvSpPr>
              <xdr:cNvPr id="100" name="Arc 118">
                <a:extLst>
                  <a:ext uri="{FF2B5EF4-FFF2-40B4-BE49-F238E27FC236}">
                    <a16:creationId xmlns:a16="http://schemas.microsoft.com/office/drawing/2014/main" id="{0ED1A331-848F-CB74-8C28-1E8212092B5F}"/>
                  </a:ext>
                </a:extLst>
              </xdr:cNvPr>
              <xdr:cNvSpPr>
                <a:spLocks/>
              </xdr:cNvSpPr>
            </xdr:nvSpPr>
            <xdr:spPr bwMode="auto">
              <a:xfrm rot="5400000">
                <a:off x="4564" y="4168"/>
                <a:ext cx="147" cy="823"/>
              </a:xfrm>
              <a:custGeom>
                <a:avLst/>
                <a:gdLst>
                  <a:gd name="G0" fmla="+- 5341 0 0"/>
                  <a:gd name="G1" fmla="+- 21600 0 0"/>
                  <a:gd name="G2" fmla="+- 21600 0 0"/>
                  <a:gd name="T0" fmla="*/ 0 w 26941"/>
                  <a:gd name="T1" fmla="*/ 671 h 43200"/>
                  <a:gd name="T2" fmla="*/ 4869 w 26941"/>
                  <a:gd name="T3" fmla="*/ 43195 h 43200"/>
                  <a:gd name="T4" fmla="*/ 5341 w 26941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6941" h="43200" fill="none" extrusionOk="0">
                    <a:moveTo>
                      <a:pt x="-1" y="670"/>
                    </a:moveTo>
                    <a:cubicBezTo>
                      <a:pt x="1745" y="225"/>
                      <a:pt x="3539" y="-1"/>
                      <a:pt x="5341" y="0"/>
                    </a:cubicBezTo>
                    <a:cubicBezTo>
                      <a:pt x="17270" y="0"/>
                      <a:pt x="26941" y="9670"/>
                      <a:pt x="26941" y="21600"/>
                    </a:cubicBezTo>
                    <a:cubicBezTo>
                      <a:pt x="26941" y="33529"/>
                      <a:pt x="17270" y="43200"/>
                      <a:pt x="5341" y="43200"/>
                    </a:cubicBezTo>
                    <a:cubicBezTo>
                      <a:pt x="5183" y="43200"/>
                      <a:pt x="5026" y="43198"/>
                      <a:pt x="4869" y="43194"/>
                    </a:cubicBezTo>
                  </a:path>
                  <a:path w="26941" h="43200" stroke="0" extrusionOk="0">
                    <a:moveTo>
                      <a:pt x="-1" y="670"/>
                    </a:moveTo>
                    <a:cubicBezTo>
                      <a:pt x="1745" y="225"/>
                      <a:pt x="3539" y="-1"/>
                      <a:pt x="5341" y="0"/>
                    </a:cubicBezTo>
                    <a:cubicBezTo>
                      <a:pt x="17270" y="0"/>
                      <a:pt x="26941" y="9670"/>
                      <a:pt x="26941" y="21600"/>
                    </a:cubicBezTo>
                    <a:cubicBezTo>
                      <a:pt x="26941" y="33529"/>
                      <a:pt x="17270" y="43200"/>
                      <a:pt x="5341" y="43200"/>
                    </a:cubicBezTo>
                    <a:cubicBezTo>
                      <a:pt x="5183" y="43200"/>
                      <a:pt x="5026" y="43198"/>
                      <a:pt x="4869" y="43194"/>
                    </a:cubicBezTo>
                    <a:lnTo>
                      <a:pt x="5341" y="21600"/>
                    </a:lnTo>
                    <a:close/>
                  </a:path>
                </a:pathLst>
              </a:custGeom>
              <a:noFill/>
              <a:ln w="9525">
                <a:solidFill>
                  <a:schemeClr val="tx1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fr-FR"/>
              </a:p>
            </xdr:txBody>
          </xdr:sp>
          <xdr:grpSp>
            <xdr:nvGrpSpPr>
              <xdr:cNvPr id="101" name="Group 119">
                <a:extLst>
                  <a:ext uri="{FF2B5EF4-FFF2-40B4-BE49-F238E27FC236}">
                    <a16:creationId xmlns:a16="http://schemas.microsoft.com/office/drawing/2014/main" id="{6BB84759-A215-491D-B9E7-3DA7AA737C3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3836" y="5317"/>
                <a:ext cx="1589" cy="826"/>
                <a:chOff x="4320" y="4511"/>
                <a:chExt cx="1336" cy="632"/>
              </a:xfrm>
            </xdr:grpSpPr>
            <xdr:sp macro="" textlink="">
              <xdr:nvSpPr>
                <xdr:cNvPr id="102" name="Arc 120">
                  <a:extLst>
                    <a:ext uri="{FF2B5EF4-FFF2-40B4-BE49-F238E27FC236}">
                      <a16:creationId xmlns:a16="http://schemas.microsoft.com/office/drawing/2014/main" id="{02EB8419-FE3A-CCA9-0972-F33ED8B30602}"/>
                    </a:ext>
                  </a:extLst>
                </xdr:cNvPr>
                <xdr:cNvSpPr>
                  <a:spLocks/>
                </xdr:cNvSpPr>
              </xdr:nvSpPr>
              <xdr:spPr bwMode="auto">
                <a:xfrm rot="5391339">
                  <a:off x="4898" y="4077"/>
                  <a:ext cx="205" cy="1074"/>
                </a:xfrm>
                <a:custGeom>
                  <a:avLst/>
                  <a:gdLst>
                    <a:gd name="G0" fmla="+- 580 0 0"/>
                    <a:gd name="G1" fmla="+- 21590 0 0"/>
                    <a:gd name="G2" fmla="+- 21600 0 0"/>
                    <a:gd name="T0" fmla="*/ 1227 w 22180"/>
                    <a:gd name="T1" fmla="*/ 0 h 43190"/>
                    <a:gd name="T2" fmla="*/ 0 w 22180"/>
                    <a:gd name="T3" fmla="*/ 43182 h 43190"/>
                    <a:gd name="T4" fmla="*/ 580 w 22180"/>
                    <a:gd name="T5" fmla="*/ 21590 h 4319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22180" h="43190" fill="none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</a:path>
                    <a:path w="22180" h="43190" stroke="0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  <a:lnTo>
                        <a:pt x="580" y="21590"/>
                      </a:lnTo>
                      <a:close/>
                    </a:path>
                  </a:pathLst>
                </a:custGeom>
                <a:noFill/>
                <a:ln w="9525">
                  <a:solidFill>
                    <a:schemeClr val="tx1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fr-FR"/>
                </a:p>
              </xdr:txBody>
            </xdr:sp>
            <xdr:sp macro="" textlink="">
              <xdr:nvSpPr>
                <xdr:cNvPr id="103" name="Arc 121">
                  <a:extLst>
                    <a:ext uri="{FF2B5EF4-FFF2-40B4-BE49-F238E27FC236}">
                      <a16:creationId xmlns:a16="http://schemas.microsoft.com/office/drawing/2014/main" id="{61825253-0798-C4D8-A614-54DF21301DC6}"/>
                    </a:ext>
                  </a:extLst>
                </xdr:cNvPr>
                <xdr:cNvSpPr>
                  <a:spLocks/>
                </xdr:cNvSpPr>
              </xdr:nvSpPr>
              <xdr:spPr bwMode="auto">
                <a:xfrm rot="5391339">
                  <a:off x="4885" y="4373"/>
                  <a:ext cx="205" cy="1336"/>
                </a:xfrm>
                <a:custGeom>
                  <a:avLst/>
                  <a:gdLst>
                    <a:gd name="G0" fmla="+- 580 0 0"/>
                    <a:gd name="G1" fmla="+- 21590 0 0"/>
                    <a:gd name="G2" fmla="+- 21600 0 0"/>
                    <a:gd name="T0" fmla="*/ 1227 w 22180"/>
                    <a:gd name="T1" fmla="*/ 0 h 43190"/>
                    <a:gd name="T2" fmla="*/ 0 w 22180"/>
                    <a:gd name="T3" fmla="*/ 43182 h 43190"/>
                    <a:gd name="T4" fmla="*/ 580 w 22180"/>
                    <a:gd name="T5" fmla="*/ 21590 h 4319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22180" h="43190" fill="none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</a:path>
                    <a:path w="22180" h="43190" stroke="0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  <a:lnTo>
                        <a:pt x="580" y="21590"/>
                      </a:lnTo>
                      <a:close/>
                    </a:path>
                  </a:pathLst>
                </a:custGeom>
                <a:noFill/>
                <a:ln w="9525">
                  <a:solidFill>
                    <a:schemeClr val="tx1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fr-FR"/>
                </a:p>
              </xdr:txBody>
            </xdr:sp>
            <xdr:cxnSp macro="">
              <xdr:nvCxnSpPr>
                <xdr:cNvPr id="104" name="Line 122">
                  <a:extLst>
                    <a:ext uri="{FF2B5EF4-FFF2-40B4-BE49-F238E27FC236}">
                      <a16:creationId xmlns:a16="http://schemas.microsoft.com/office/drawing/2014/main" id="{929EB667-DA79-8DC0-3A30-49D50A6B5531}"/>
                    </a:ext>
                  </a:extLst>
                </xdr:cNvPr>
                <xdr:cNvCxnSpPr/>
              </xdr:nvCxnSpPr>
              <xdr:spPr bwMode="auto">
                <a:xfrm flipH="1">
                  <a:off x="4320" y="4530"/>
                  <a:ext cx="135" cy="428"/>
                </a:xfrm>
                <a:prstGeom prst="line">
                  <a:avLst/>
                </a:prstGeom>
                <a:noFill/>
                <a:ln w="9525">
                  <a:solidFill>
                    <a:schemeClr val="tx1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105" name="Line 123">
                  <a:extLst>
                    <a:ext uri="{FF2B5EF4-FFF2-40B4-BE49-F238E27FC236}">
                      <a16:creationId xmlns:a16="http://schemas.microsoft.com/office/drawing/2014/main" id="{B424972A-94F7-BE65-42E9-B2867C7AF911}"/>
                    </a:ext>
                  </a:extLst>
                </xdr:cNvPr>
                <xdr:cNvCxnSpPr/>
              </xdr:nvCxnSpPr>
              <xdr:spPr bwMode="auto">
                <a:xfrm>
                  <a:off x="5528" y="4538"/>
                  <a:ext cx="127" cy="405"/>
                </a:xfrm>
                <a:prstGeom prst="line">
                  <a:avLst/>
                </a:prstGeom>
                <a:noFill/>
                <a:ln w="9525">
                  <a:solidFill>
                    <a:schemeClr val="tx1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</xdr:grpSp>
        <xdr:sp macro="" textlink="">
          <xdr:nvSpPr>
            <xdr:cNvPr id="97" name="Arc 124">
              <a:extLst>
                <a:ext uri="{FF2B5EF4-FFF2-40B4-BE49-F238E27FC236}">
                  <a16:creationId xmlns:a16="http://schemas.microsoft.com/office/drawing/2014/main" id="{28A5FFA4-FB0E-738A-255F-0F003C415C96}"/>
                </a:ext>
              </a:extLst>
            </xdr:cNvPr>
            <xdr:cNvSpPr>
              <a:spLocks/>
            </xdr:cNvSpPr>
          </xdr:nvSpPr>
          <xdr:spPr bwMode="auto">
            <a:xfrm rot="5400000">
              <a:off x="4529" y="5833"/>
              <a:ext cx="209" cy="2078"/>
            </a:xfrm>
            <a:custGeom>
              <a:avLst/>
              <a:gdLst>
                <a:gd name="G0" fmla="+- 472 0 0"/>
                <a:gd name="G1" fmla="+- 21581 0 0"/>
                <a:gd name="G2" fmla="+- 21600 0 0"/>
                <a:gd name="T0" fmla="*/ 1388 w 22072"/>
                <a:gd name="T1" fmla="*/ 0 h 43181"/>
                <a:gd name="T2" fmla="*/ 0 w 22072"/>
                <a:gd name="T3" fmla="*/ 43176 h 43181"/>
                <a:gd name="T4" fmla="*/ 472 w 22072"/>
                <a:gd name="T5" fmla="*/ 21581 h 4318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22072" h="43181" fill="none" extrusionOk="0">
                  <a:moveTo>
                    <a:pt x="1387" y="0"/>
                  </a:moveTo>
                  <a:cubicBezTo>
                    <a:pt x="12950" y="491"/>
                    <a:pt x="22072" y="10007"/>
                    <a:pt x="22072" y="21581"/>
                  </a:cubicBezTo>
                  <a:cubicBezTo>
                    <a:pt x="22072" y="33510"/>
                    <a:pt x="12401" y="43181"/>
                    <a:pt x="472" y="43181"/>
                  </a:cubicBezTo>
                  <a:cubicBezTo>
                    <a:pt x="314" y="43181"/>
                    <a:pt x="157" y="43179"/>
                    <a:pt x="0" y="43175"/>
                  </a:cubicBezTo>
                </a:path>
                <a:path w="22072" h="43181" stroke="0" extrusionOk="0">
                  <a:moveTo>
                    <a:pt x="1387" y="0"/>
                  </a:moveTo>
                  <a:cubicBezTo>
                    <a:pt x="12950" y="491"/>
                    <a:pt x="22072" y="10007"/>
                    <a:pt x="22072" y="21581"/>
                  </a:cubicBezTo>
                  <a:cubicBezTo>
                    <a:pt x="22072" y="33510"/>
                    <a:pt x="12401" y="43181"/>
                    <a:pt x="472" y="43181"/>
                  </a:cubicBezTo>
                  <a:cubicBezTo>
                    <a:pt x="314" y="43181"/>
                    <a:pt x="157" y="43179"/>
                    <a:pt x="0" y="43175"/>
                  </a:cubicBezTo>
                  <a:lnTo>
                    <a:pt x="472" y="21581"/>
                  </a:ln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chemeClr val="tx1">
                  <a:alpha val="0"/>
                </a:schemeClr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fr-FR"/>
            </a:p>
          </xdr:txBody>
        </xdr:sp>
      </xdr:grpSp>
    </xdr:grpSp>
    <xdr:clientData/>
  </xdr:twoCellAnchor>
  <xdr:twoCellAnchor>
    <xdr:from>
      <xdr:col>10</xdr:col>
      <xdr:colOff>655333</xdr:colOff>
      <xdr:row>7</xdr:row>
      <xdr:rowOff>52387</xdr:rowOff>
    </xdr:from>
    <xdr:to>
      <xdr:col>11</xdr:col>
      <xdr:colOff>398219</xdr:colOff>
      <xdr:row>8</xdr:row>
      <xdr:rowOff>152400</xdr:rowOff>
    </xdr:to>
    <xdr:cxnSp macro="">
      <xdr:nvCxnSpPr>
        <xdr:cNvPr id="106" name="Connecteur : en arc 105">
          <a:extLst>
            <a:ext uri="{FF2B5EF4-FFF2-40B4-BE49-F238E27FC236}">
              <a16:creationId xmlns:a16="http://schemas.microsoft.com/office/drawing/2014/main" id="{3EEFDC19-8842-440C-8958-363CEB917863}"/>
            </a:ext>
          </a:extLst>
        </xdr:cNvPr>
        <xdr:cNvCxnSpPr>
          <a:stCxn id="86" idx="3"/>
          <a:endCxn id="98" idx="0"/>
        </xdr:cNvCxnSpPr>
      </xdr:nvCxnSpPr>
      <xdr:spPr>
        <a:xfrm>
          <a:off x="6370333" y="1547812"/>
          <a:ext cx="457261" cy="290513"/>
        </a:xfrm>
        <a:prstGeom prst="curvedConnector2">
          <a:avLst/>
        </a:prstGeom>
        <a:ln>
          <a:tailEnd type="triangle"/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oneCellAnchor>
    <xdr:from>
      <xdr:col>4</xdr:col>
      <xdr:colOff>0</xdr:colOff>
      <xdr:row>57</xdr:row>
      <xdr:rowOff>154781</xdr:rowOff>
    </xdr:from>
    <xdr:ext cx="184731" cy="264560"/>
    <xdr:sp macro="" textlink="">
      <xdr:nvSpPr>
        <xdr:cNvPr id="107" name="ZoneTexte 106">
          <a:extLst>
            <a:ext uri="{FF2B5EF4-FFF2-40B4-BE49-F238E27FC236}">
              <a16:creationId xmlns:a16="http://schemas.microsoft.com/office/drawing/2014/main" id="{39661EDD-FD64-4316-B9C5-AE802052740D}"/>
            </a:ext>
          </a:extLst>
        </xdr:cNvPr>
        <xdr:cNvSpPr txBox="1"/>
      </xdr:nvSpPr>
      <xdr:spPr>
        <a:xfrm>
          <a:off x="1428750" y="9305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twoCellAnchor>
    <xdr:from>
      <xdr:col>3</xdr:col>
      <xdr:colOff>250030</xdr:colOff>
      <xdr:row>15</xdr:row>
      <xdr:rowOff>190498</xdr:rowOff>
    </xdr:from>
    <xdr:to>
      <xdr:col>8</xdr:col>
      <xdr:colOff>523874</xdr:colOff>
      <xdr:row>26</xdr:row>
      <xdr:rowOff>107156</xdr:rowOff>
    </xdr:to>
    <xdr:sp macro="" textlink="">
      <xdr:nvSpPr>
        <xdr:cNvPr id="108" name="Rectangle 107">
          <a:extLst>
            <a:ext uri="{FF2B5EF4-FFF2-40B4-BE49-F238E27FC236}">
              <a16:creationId xmlns:a16="http://schemas.microsoft.com/office/drawing/2014/main" id="{8E935521-735A-4337-976C-22EA7DB09B41}"/>
            </a:ext>
          </a:extLst>
        </xdr:cNvPr>
        <xdr:cNvSpPr/>
      </xdr:nvSpPr>
      <xdr:spPr>
        <a:xfrm>
          <a:off x="964405" y="3209923"/>
          <a:ext cx="3845719" cy="2012158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fr-FR" sz="1100" b="0" u="sng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Placement</a:t>
          </a:r>
          <a:r>
            <a:rPr lang="fr-FR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fr-FR" sz="11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du chronométreur </a:t>
          </a:r>
          <a:r>
            <a:rPr lang="fr-FR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avec la tablette à 1m de</a:t>
          </a:r>
          <a:r>
            <a:rPr lang="fr-FR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la piste </a:t>
          </a:r>
          <a:r>
            <a:rPr lang="fr-FR" sz="1100" b="0" baseline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dans le prolongement de la ligne d'arrivée,</a:t>
          </a:r>
          <a:endParaRPr lang="fr-FR" sz="11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endParaRPr lang="fr-FR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Réaliseation</a:t>
          </a:r>
          <a:r>
            <a:rPr lang="fr-FR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du </a:t>
          </a:r>
          <a:r>
            <a:rPr lang="fr-FR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chronomètrage</a:t>
          </a:r>
          <a:r>
            <a:rPr lang="fr-FR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possible avec </a:t>
          </a:r>
          <a:r>
            <a:rPr lang="fr-FR" sz="11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</a:t>
          </a:r>
          <a:r>
            <a:rPr lang="fr-FR" sz="1100" b="1" baseline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'application Beam Trainer (temps uniquement) sous Androïd ou l'application Sprinttimer sous IOS.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0" baseline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Elles permettent de faire une </a:t>
          </a:r>
          <a:r>
            <a:rPr lang="fr-FR" sz="1100" b="1" baseline="0">
              <a:solidFill>
                <a:schemeClr val="dk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photofinish.</a:t>
          </a:r>
          <a:endParaRPr lang="fr-RE">
            <a:effectLst/>
          </a:endParaRPr>
        </a:p>
        <a:p>
          <a:pPr algn="ctr"/>
          <a:endParaRPr lang="fr-FR" sz="11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r>
            <a:rPr lang="fr-FR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Le chronométreur filme en plaçant  les épaules parallèles à l'axe de la course, les coudes collés au corps en restant immobile.</a:t>
          </a:r>
        </a:p>
        <a:p>
          <a:pPr algn="ctr"/>
          <a:r>
            <a:rPr lang="fr-FR" sz="11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(L'usage d'un trépied est préférable)</a:t>
          </a:r>
          <a:endParaRPr lang="fr-FR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16</xdr:col>
      <xdr:colOff>49698</xdr:colOff>
      <xdr:row>9</xdr:row>
      <xdr:rowOff>66504</xdr:rowOff>
    </xdr:from>
    <xdr:to>
      <xdr:col>17</xdr:col>
      <xdr:colOff>56321</xdr:colOff>
      <xdr:row>10</xdr:row>
      <xdr:rowOff>62120</xdr:rowOff>
    </xdr:to>
    <xdr:cxnSp macro="">
      <xdr:nvCxnSpPr>
        <xdr:cNvPr id="109" name="Connecteur : en arc 108">
          <a:extLst>
            <a:ext uri="{FF2B5EF4-FFF2-40B4-BE49-F238E27FC236}">
              <a16:creationId xmlns:a16="http://schemas.microsoft.com/office/drawing/2014/main" id="{508566CB-61FD-4733-AA0B-8D97950D3F24}"/>
            </a:ext>
          </a:extLst>
        </xdr:cNvPr>
        <xdr:cNvCxnSpPr>
          <a:stCxn id="80" idx="2"/>
        </xdr:cNvCxnSpPr>
      </xdr:nvCxnSpPr>
      <xdr:spPr>
        <a:xfrm rot="5400000">
          <a:off x="10318389" y="1675488"/>
          <a:ext cx="186116" cy="720998"/>
        </a:xfrm>
        <a:prstGeom prst="curvedConnector2">
          <a:avLst/>
        </a:prstGeom>
        <a:ln>
          <a:solidFill>
            <a:schemeClr val="accent6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188119</xdr:colOff>
      <xdr:row>8</xdr:row>
      <xdr:rowOff>142875</xdr:rowOff>
    </xdr:from>
    <xdr:to>
      <xdr:col>13</xdr:col>
      <xdr:colOff>452279</xdr:colOff>
      <xdr:row>9</xdr:row>
      <xdr:rowOff>120648</xdr:rowOff>
    </xdr:to>
    <xdr:grpSp>
      <xdr:nvGrpSpPr>
        <xdr:cNvPr id="110" name="Group 112">
          <a:extLst>
            <a:ext uri="{FF2B5EF4-FFF2-40B4-BE49-F238E27FC236}">
              <a16:creationId xmlns:a16="http://schemas.microsoft.com/office/drawing/2014/main" id="{5364BA89-9886-453C-9486-964A236270C4}"/>
            </a:ext>
          </a:extLst>
        </xdr:cNvPr>
        <xdr:cNvGrpSpPr>
          <a:grpSpLocks/>
        </xdr:cNvGrpSpPr>
      </xdr:nvGrpSpPr>
      <xdr:grpSpPr bwMode="auto">
        <a:xfrm>
          <a:off x="8046244" y="1828800"/>
          <a:ext cx="264160" cy="168273"/>
          <a:chOff x="3126" y="3070"/>
          <a:chExt cx="3000" cy="4203"/>
        </a:xfrm>
        <a:scene3d>
          <a:camera prst="orthographicFront">
            <a:rot lat="0" lon="10800000" rev="0"/>
          </a:camera>
          <a:lightRig rig="threePt" dir="t"/>
        </a:scene3d>
      </xdr:grpSpPr>
      <xdr:sp macro="" textlink="">
        <xdr:nvSpPr>
          <xdr:cNvPr id="111" name="AutoShape 113">
            <a:extLst>
              <a:ext uri="{FF2B5EF4-FFF2-40B4-BE49-F238E27FC236}">
                <a16:creationId xmlns:a16="http://schemas.microsoft.com/office/drawing/2014/main" id="{D44FCF0F-B380-6513-0FCE-06B6EA8ACC56}"/>
              </a:ext>
            </a:extLst>
          </xdr:cNvPr>
          <xdr:cNvSpPr>
            <a:spLocks noChangeArrowheads="1"/>
          </xdr:cNvSpPr>
        </xdr:nvSpPr>
        <xdr:spPr bwMode="auto">
          <a:xfrm rot="-10786638">
            <a:off x="3126" y="6308"/>
            <a:ext cx="3000" cy="965"/>
          </a:xfrm>
          <a:custGeom>
            <a:avLst/>
            <a:gdLst>
              <a:gd name="G0" fmla="+- 2867 0 0"/>
              <a:gd name="G1" fmla="+- 21600 0 2867"/>
              <a:gd name="G2" fmla="*/ 2867 1 2"/>
              <a:gd name="G3" fmla="+- 21600 0 G2"/>
              <a:gd name="G4" fmla="+/ 2867 21600 2"/>
              <a:gd name="G5" fmla="+/ G1 0 2"/>
              <a:gd name="G6" fmla="*/ 21600 21600 2867"/>
              <a:gd name="G7" fmla="*/ G6 1 2"/>
              <a:gd name="G8" fmla="+- 21600 0 G7"/>
              <a:gd name="G9" fmla="*/ 21600 1 2"/>
              <a:gd name="G10" fmla="+- 2867 0 G9"/>
              <a:gd name="G11" fmla="?: G10 G8 0"/>
              <a:gd name="G12" fmla="?: G10 G7 21600"/>
              <a:gd name="T0" fmla="*/ 20166 w 21600"/>
              <a:gd name="T1" fmla="*/ 10800 h 21600"/>
              <a:gd name="T2" fmla="*/ 10800 w 21600"/>
              <a:gd name="T3" fmla="*/ 21600 h 21600"/>
              <a:gd name="T4" fmla="*/ 1434 w 21600"/>
              <a:gd name="T5" fmla="*/ 10800 h 21600"/>
              <a:gd name="T6" fmla="*/ 10800 w 21600"/>
              <a:gd name="T7" fmla="*/ 0 h 21600"/>
              <a:gd name="T8" fmla="*/ 3234 w 21600"/>
              <a:gd name="T9" fmla="*/ 3234 h 21600"/>
              <a:gd name="T10" fmla="*/ 18366 w 21600"/>
              <a:gd name="T11" fmla="*/ 18366 h 216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T8" t="T9" r="T10" b="T11"/>
            <a:pathLst>
              <a:path w="21600" h="21600">
                <a:moveTo>
                  <a:pt x="0" y="0"/>
                </a:moveTo>
                <a:lnTo>
                  <a:pt x="2867" y="21600"/>
                </a:lnTo>
                <a:lnTo>
                  <a:pt x="18733" y="21600"/>
                </a:lnTo>
                <a:lnTo>
                  <a:pt x="21600" y="0"/>
                </a:lnTo>
                <a:close/>
              </a:path>
            </a:pathLst>
          </a:custGeom>
          <a:noFill/>
          <a:ln w="9525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fr-FR"/>
          </a:p>
        </xdr:txBody>
      </xdr:sp>
      <xdr:grpSp>
        <xdr:nvGrpSpPr>
          <xdr:cNvPr id="112" name="Group 114">
            <a:extLst>
              <a:ext uri="{FF2B5EF4-FFF2-40B4-BE49-F238E27FC236}">
                <a16:creationId xmlns:a16="http://schemas.microsoft.com/office/drawing/2014/main" id="{F8D08CB1-605E-386A-930E-7820E93BC976}"/>
              </a:ext>
            </a:extLst>
          </xdr:cNvPr>
          <xdr:cNvGrpSpPr>
            <a:grpSpLocks/>
          </xdr:cNvGrpSpPr>
        </xdr:nvGrpSpPr>
        <xdr:grpSpPr bwMode="auto">
          <a:xfrm>
            <a:off x="3804" y="3070"/>
            <a:ext cx="1743" cy="3906"/>
            <a:chOff x="3584" y="3070"/>
            <a:chExt cx="2103" cy="3906"/>
          </a:xfrm>
        </xdr:grpSpPr>
        <xdr:grpSp>
          <xdr:nvGrpSpPr>
            <xdr:cNvPr id="113" name="Group 115">
              <a:extLst>
                <a:ext uri="{FF2B5EF4-FFF2-40B4-BE49-F238E27FC236}">
                  <a16:creationId xmlns:a16="http://schemas.microsoft.com/office/drawing/2014/main" id="{A6FC7DAE-F508-197C-42D4-355724A3C782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584" y="3070"/>
              <a:ext cx="2103" cy="3722"/>
              <a:chOff x="3584" y="3070"/>
              <a:chExt cx="2103" cy="3722"/>
            </a:xfrm>
          </xdr:grpSpPr>
          <xdr:sp macro="" textlink="">
            <xdr:nvSpPr>
              <xdr:cNvPr id="115" name="AutoShape 116">
                <a:extLst>
                  <a:ext uri="{FF2B5EF4-FFF2-40B4-BE49-F238E27FC236}">
                    <a16:creationId xmlns:a16="http://schemas.microsoft.com/office/drawing/2014/main" id="{8737FD8D-D88E-60B5-E3AA-80C14DA34D7C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584" y="3070"/>
                <a:ext cx="2103" cy="3722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fr-FR"/>
              </a:p>
            </xdr:txBody>
          </xdr:sp>
          <xdr:sp macro="" textlink="">
            <xdr:nvSpPr>
              <xdr:cNvPr id="116" name="Arc 117">
                <a:extLst>
                  <a:ext uri="{FF2B5EF4-FFF2-40B4-BE49-F238E27FC236}">
                    <a16:creationId xmlns:a16="http://schemas.microsoft.com/office/drawing/2014/main" id="{9EA872DC-DD80-DCDF-7D17-5586125E3324}"/>
                  </a:ext>
                </a:extLst>
              </xdr:cNvPr>
              <xdr:cNvSpPr>
                <a:spLocks/>
              </xdr:cNvSpPr>
            </xdr:nvSpPr>
            <xdr:spPr bwMode="auto">
              <a:xfrm rot="5400000">
                <a:off x="4559" y="3857"/>
                <a:ext cx="138" cy="542"/>
              </a:xfrm>
              <a:custGeom>
                <a:avLst/>
                <a:gdLst>
                  <a:gd name="G0" fmla="+- 472 0 0"/>
                  <a:gd name="G1" fmla="+- 21600 0 0"/>
                  <a:gd name="G2" fmla="+- 21600 0 0"/>
                  <a:gd name="T0" fmla="*/ 472 w 22072"/>
                  <a:gd name="T1" fmla="*/ 0 h 43200"/>
                  <a:gd name="T2" fmla="*/ 0 w 22072"/>
                  <a:gd name="T3" fmla="*/ 43195 h 43200"/>
                  <a:gd name="T4" fmla="*/ 472 w 22072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2072" h="43200" fill="none" extrusionOk="0">
                    <a:moveTo>
                      <a:pt x="471" y="0"/>
                    </a:moveTo>
                    <a:cubicBezTo>
                      <a:pt x="12401" y="0"/>
                      <a:pt x="22072" y="9670"/>
                      <a:pt x="22072" y="21600"/>
                    </a:cubicBezTo>
                    <a:cubicBezTo>
                      <a:pt x="22072" y="33529"/>
                      <a:pt x="12401" y="43200"/>
                      <a:pt x="472" y="43200"/>
                    </a:cubicBezTo>
                    <a:cubicBezTo>
                      <a:pt x="314" y="43200"/>
                      <a:pt x="157" y="43198"/>
                      <a:pt x="0" y="43194"/>
                    </a:cubicBezTo>
                  </a:path>
                  <a:path w="22072" h="43200" stroke="0" extrusionOk="0">
                    <a:moveTo>
                      <a:pt x="471" y="0"/>
                    </a:moveTo>
                    <a:cubicBezTo>
                      <a:pt x="12401" y="0"/>
                      <a:pt x="22072" y="9670"/>
                      <a:pt x="22072" y="21600"/>
                    </a:cubicBezTo>
                    <a:cubicBezTo>
                      <a:pt x="22072" y="33529"/>
                      <a:pt x="12401" y="43200"/>
                      <a:pt x="472" y="43200"/>
                    </a:cubicBezTo>
                    <a:cubicBezTo>
                      <a:pt x="314" y="43200"/>
                      <a:pt x="157" y="43198"/>
                      <a:pt x="0" y="43194"/>
                    </a:cubicBezTo>
                    <a:lnTo>
                      <a:pt x="472" y="21600"/>
                    </a:lnTo>
                    <a:close/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fr-FR"/>
              </a:p>
            </xdr:txBody>
          </xdr:sp>
          <xdr:sp macro="" textlink="">
            <xdr:nvSpPr>
              <xdr:cNvPr id="117" name="Arc 118">
                <a:extLst>
                  <a:ext uri="{FF2B5EF4-FFF2-40B4-BE49-F238E27FC236}">
                    <a16:creationId xmlns:a16="http://schemas.microsoft.com/office/drawing/2014/main" id="{C57B9294-16F9-A6EA-49A2-52AF69FB5FA5}"/>
                  </a:ext>
                </a:extLst>
              </xdr:cNvPr>
              <xdr:cNvSpPr>
                <a:spLocks/>
              </xdr:cNvSpPr>
            </xdr:nvSpPr>
            <xdr:spPr bwMode="auto">
              <a:xfrm rot="5400000">
                <a:off x="4564" y="4168"/>
                <a:ext cx="147" cy="823"/>
              </a:xfrm>
              <a:custGeom>
                <a:avLst/>
                <a:gdLst>
                  <a:gd name="G0" fmla="+- 5341 0 0"/>
                  <a:gd name="G1" fmla="+- 21600 0 0"/>
                  <a:gd name="G2" fmla="+- 21600 0 0"/>
                  <a:gd name="T0" fmla="*/ 0 w 26941"/>
                  <a:gd name="T1" fmla="*/ 671 h 43200"/>
                  <a:gd name="T2" fmla="*/ 4869 w 26941"/>
                  <a:gd name="T3" fmla="*/ 43195 h 43200"/>
                  <a:gd name="T4" fmla="*/ 5341 w 26941"/>
                  <a:gd name="T5" fmla="*/ 21600 h 432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6941" h="43200" fill="none" extrusionOk="0">
                    <a:moveTo>
                      <a:pt x="-1" y="670"/>
                    </a:moveTo>
                    <a:cubicBezTo>
                      <a:pt x="1745" y="225"/>
                      <a:pt x="3539" y="-1"/>
                      <a:pt x="5341" y="0"/>
                    </a:cubicBezTo>
                    <a:cubicBezTo>
                      <a:pt x="17270" y="0"/>
                      <a:pt x="26941" y="9670"/>
                      <a:pt x="26941" y="21600"/>
                    </a:cubicBezTo>
                    <a:cubicBezTo>
                      <a:pt x="26941" y="33529"/>
                      <a:pt x="17270" y="43200"/>
                      <a:pt x="5341" y="43200"/>
                    </a:cubicBezTo>
                    <a:cubicBezTo>
                      <a:pt x="5183" y="43200"/>
                      <a:pt x="5026" y="43198"/>
                      <a:pt x="4869" y="43194"/>
                    </a:cubicBezTo>
                  </a:path>
                  <a:path w="26941" h="43200" stroke="0" extrusionOk="0">
                    <a:moveTo>
                      <a:pt x="-1" y="670"/>
                    </a:moveTo>
                    <a:cubicBezTo>
                      <a:pt x="1745" y="225"/>
                      <a:pt x="3539" y="-1"/>
                      <a:pt x="5341" y="0"/>
                    </a:cubicBezTo>
                    <a:cubicBezTo>
                      <a:pt x="17270" y="0"/>
                      <a:pt x="26941" y="9670"/>
                      <a:pt x="26941" y="21600"/>
                    </a:cubicBezTo>
                    <a:cubicBezTo>
                      <a:pt x="26941" y="33529"/>
                      <a:pt x="17270" y="43200"/>
                      <a:pt x="5341" y="43200"/>
                    </a:cubicBezTo>
                    <a:cubicBezTo>
                      <a:pt x="5183" y="43200"/>
                      <a:pt x="5026" y="43198"/>
                      <a:pt x="4869" y="43194"/>
                    </a:cubicBezTo>
                    <a:lnTo>
                      <a:pt x="5341" y="21600"/>
                    </a:lnTo>
                    <a:close/>
                  </a:path>
                </a:pathLst>
              </a:custGeom>
              <a:noFill/>
              <a:ln w="952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fr-FR"/>
              </a:p>
            </xdr:txBody>
          </xdr:sp>
          <xdr:grpSp>
            <xdr:nvGrpSpPr>
              <xdr:cNvPr id="118" name="Group 119">
                <a:extLst>
                  <a:ext uri="{FF2B5EF4-FFF2-40B4-BE49-F238E27FC236}">
                    <a16:creationId xmlns:a16="http://schemas.microsoft.com/office/drawing/2014/main" id="{ADA8180B-E7DA-6272-FB84-E7CF9A156E52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3836" y="5317"/>
                <a:ext cx="1589" cy="826"/>
                <a:chOff x="4320" y="4511"/>
                <a:chExt cx="1336" cy="632"/>
              </a:xfrm>
            </xdr:grpSpPr>
            <xdr:sp macro="" textlink="">
              <xdr:nvSpPr>
                <xdr:cNvPr id="119" name="Arc 120">
                  <a:extLst>
                    <a:ext uri="{FF2B5EF4-FFF2-40B4-BE49-F238E27FC236}">
                      <a16:creationId xmlns:a16="http://schemas.microsoft.com/office/drawing/2014/main" id="{D9A2BECF-9E2E-BE85-7A73-C0C65F433CEE}"/>
                    </a:ext>
                  </a:extLst>
                </xdr:cNvPr>
                <xdr:cNvSpPr>
                  <a:spLocks/>
                </xdr:cNvSpPr>
              </xdr:nvSpPr>
              <xdr:spPr bwMode="auto">
                <a:xfrm rot="5391339">
                  <a:off x="4898" y="4077"/>
                  <a:ext cx="205" cy="1074"/>
                </a:xfrm>
                <a:custGeom>
                  <a:avLst/>
                  <a:gdLst>
                    <a:gd name="G0" fmla="+- 580 0 0"/>
                    <a:gd name="G1" fmla="+- 21590 0 0"/>
                    <a:gd name="G2" fmla="+- 21600 0 0"/>
                    <a:gd name="T0" fmla="*/ 1227 w 22180"/>
                    <a:gd name="T1" fmla="*/ 0 h 43190"/>
                    <a:gd name="T2" fmla="*/ 0 w 22180"/>
                    <a:gd name="T3" fmla="*/ 43182 h 43190"/>
                    <a:gd name="T4" fmla="*/ 580 w 22180"/>
                    <a:gd name="T5" fmla="*/ 21590 h 4319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22180" h="43190" fill="none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</a:path>
                    <a:path w="22180" h="43190" stroke="0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  <a:lnTo>
                        <a:pt x="580" y="21590"/>
                      </a:lnTo>
                      <a:close/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fr-FR"/>
                </a:p>
              </xdr:txBody>
            </xdr:sp>
            <xdr:sp macro="" textlink="">
              <xdr:nvSpPr>
                <xdr:cNvPr id="120" name="Arc 121">
                  <a:extLst>
                    <a:ext uri="{FF2B5EF4-FFF2-40B4-BE49-F238E27FC236}">
                      <a16:creationId xmlns:a16="http://schemas.microsoft.com/office/drawing/2014/main" id="{6667888D-90EB-7AA3-B170-0E148A03D54E}"/>
                    </a:ext>
                  </a:extLst>
                </xdr:cNvPr>
                <xdr:cNvSpPr>
                  <a:spLocks/>
                </xdr:cNvSpPr>
              </xdr:nvSpPr>
              <xdr:spPr bwMode="auto">
                <a:xfrm rot="5391339">
                  <a:off x="4885" y="4373"/>
                  <a:ext cx="205" cy="1336"/>
                </a:xfrm>
                <a:custGeom>
                  <a:avLst/>
                  <a:gdLst>
                    <a:gd name="G0" fmla="+- 580 0 0"/>
                    <a:gd name="G1" fmla="+- 21590 0 0"/>
                    <a:gd name="G2" fmla="+- 21600 0 0"/>
                    <a:gd name="T0" fmla="*/ 1227 w 22180"/>
                    <a:gd name="T1" fmla="*/ 0 h 43190"/>
                    <a:gd name="T2" fmla="*/ 0 w 22180"/>
                    <a:gd name="T3" fmla="*/ 43182 h 43190"/>
                    <a:gd name="T4" fmla="*/ 580 w 22180"/>
                    <a:gd name="T5" fmla="*/ 21590 h 4319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22180" h="43190" fill="none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</a:path>
                    <a:path w="22180" h="43190" stroke="0" extrusionOk="0">
                      <a:moveTo>
                        <a:pt x="1227" y="-1"/>
                      </a:moveTo>
                      <a:cubicBezTo>
                        <a:pt x="12899" y="349"/>
                        <a:pt x="22180" y="9912"/>
                        <a:pt x="22180" y="21590"/>
                      </a:cubicBezTo>
                      <a:cubicBezTo>
                        <a:pt x="22180" y="33519"/>
                        <a:pt x="12509" y="43190"/>
                        <a:pt x="580" y="43190"/>
                      </a:cubicBezTo>
                      <a:cubicBezTo>
                        <a:pt x="386" y="43190"/>
                        <a:pt x="193" y="43187"/>
                        <a:pt x="-1" y="43182"/>
                      </a:cubicBezTo>
                      <a:lnTo>
                        <a:pt x="580" y="21590"/>
                      </a:lnTo>
                      <a:close/>
                    </a:path>
                  </a:pathLst>
                </a:cu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fr-FR"/>
                </a:p>
              </xdr:txBody>
            </xdr:sp>
            <xdr:cxnSp macro="">
              <xdr:nvCxnSpPr>
                <xdr:cNvPr id="121" name="Line 122">
                  <a:extLst>
                    <a:ext uri="{FF2B5EF4-FFF2-40B4-BE49-F238E27FC236}">
                      <a16:creationId xmlns:a16="http://schemas.microsoft.com/office/drawing/2014/main" id="{D4627FEB-12B5-BBFA-76FC-B994A3E55EF5}"/>
                    </a:ext>
                  </a:extLst>
                </xdr:cNvPr>
                <xdr:cNvCxnSpPr/>
              </xdr:nvCxnSpPr>
              <xdr:spPr bwMode="auto">
                <a:xfrm flipH="1">
                  <a:off x="4320" y="4530"/>
                  <a:ext cx="135" cy="428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122" name="Line 123">
                  <a:extLst>
                    <a:ext uri="{FF2B5EF4-FFF2-40B4-BE49-F238E27FC236}">
                      <a16:creationId xmlns:a16="http://schemas.microsoft.com/office/drawing/2014/main" id="{1C892CA7-680E-B763-E6E9-14F18DD05775}"/>
                    </a:ext>
                  </a:extLst>
                </xdr:cNvPr>
                <xdr:cNvCxnSpPr/>
              </xdr:nvCxnSpPr>
              <xdr:spPr bwMode="auto">
                <a:xfrm>
                  <a:off x="5528" y="4538"/>
                  <a:ext cx="127" cy="405"/>
                </a:xfrm>
                <a:prstGeom prst="line">
                  <a:avLst/>
                </a:prstGeom>
                <a:noFill/>
                <a:ln w="9525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</xdr:grpSp>
        <xdr:sp macro="" textlink="">
          <xdr:nvSpPr>
            <xdr:cNvPr id="114" name="Arc 124">
              <a:extLst>
                <a:ext uri="{FF2B5EF4-FFF2-40B4-BE49-F238E27FC236}">
                  <a16:creationId xmlns:a16="http://schemas.microsoft.com/office/drawing/2014/main" id="{1D2CF520-13EB-6B47-55D5-77C3AE45CA7C}"/>
                </a:ext>
              </a:extLst>
            </xdr:cNvPr>
            <xdr:cNvSpPr>
              <a:spLocks/>
            </xdr:cNvSpPr>
          </xdr:nvSpPr>
          <xdr:spPr bwMode="auto">
            <a:xfrm rot="5400000">
              <a:off x="4529" y="5833"/>
              <a:ext cx="209" cy="2078"/>
            </a:xfrm>
            <a:custGeom>
              <a:avLst/>
              <a:gdLst>
                <a:gd name="G0" fmla="+- 472 0 0"/>
                <a:gd name="G1" fmla="+- 21581 0 0"/>
                <a:gd name="G2" fmla="+- 21600 0 0"/>
                <a:gd name="T0" fmla="*/ 1388 w 22072"/>
                <a:gd name="T1" fmla="*/ 0 h 43181"/>
                <a:gd name="T2" fmla="*/ 0 w 22072"/>
                <a:gd name="T3" fmla="*/ 43176 h 43181"/>
                <a:gd name="T4" fmla="*/ 472 w 22072"/>
                <a:gd name="T5" fmla="*/ 21581 h 4318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22072" h="43181" fill="none" extrusionOk="0">
                  <a:moveTo>
                    <a:pt x="1387" y="0"/>
                  </a:moveTo>
                  <a:cubicBezTo>
                    <a:pt x="12950" y="491"/>
                    <a:pt x="22072" y="10007"/>
                    <a:pt x="22072" y="21581"/>
                  </a:cubicBezTo>
                  <a:cubicBezTo>
                    <a:pt x="22072" y="33510"/>
                    <a:pt x="12401" y="43181"/>
                    <a:pt x="472" y="43181"/>
                  </a:cubicBezTo>
                  <a:cubicBezTo>
                    <a:pt x="314" y="43181"/>
                    <a:pt x="157" y="43179"/>
                    <a:pt x="0" y="43175"/>
                  </a:cubicBezTo>
                </a:path>
                <a:path w="22072" h="43181" stroke="0" extrusionOk="0">
                  <a:moveTo>
                    <a:pt x="1387" y="0"/>
                  </a:moveTo>
                  <a:cubicBezTo>
                    <a:pt x="12950" y="491"/>
                    <a:pt x="22072" y="10007"/>
                    <a:pt x="22072" y="21581"/>
                  </a:cubicBezTo>
                  <a:cubicBezTo>
                    <a:pt x="22072" y="33510"/>
                    <a:pt x="12401" y="43181"/>
                    <a:pt x="472" y="43181"/>
                  </a:cubicBezTo>
                  <a:cubicBezTo>
                    <a:pt x="314" y="43181"/>
                    <a:pt x="157" y="43179"/>
                    <a:pt x="0" y="43175"/>
                  </a:cubicBezTo>
                  <a:lnTo>
                    <a:pt x="472" y="21581"/>
                  </a:ln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fr-FR"/>
            </a:p>
          </xdr:txBody>
        </xdr:sp>
      </xdr:grpSp>
    </xdr:grpSp>
    <xdr:clientData/>
  </xdr:twoCellAnchor>
  <xdr:twoCellAnchor>
    <xdr:from>
      <xdr:col>6</xdr:col>
      <xdr:colOff>657225</xdr:colOff>
      <xdr:row>9</xdr:row>
      <xdr:rowOff>138112</xdr:rowOff>
    </xdr:from>
    <xdr:to>
      <xdr:col>14</xdr:col>
      <xdr:colOff>337199</xdr:colOff>
      <xdr:row>9</xdr:row>
      <xdr:rowOff>138112</xdr:rowOff>
    </xdr:to>
    <xdr:cxnSp macro="">
      <xdr:nvCxnSpPr>
        <xdr:cNvPr id="123" name="Connecteur droit avec flèche 122">
          <a:extLst>
            <a:ext uri="{FF2B5EF4-FFF2-40B4-BE49-F238E27FC236}">
              <a16:creationId xmlns:a16="http://schemas.microsoft.com/office/drawing/2014/main" id="{3E079B2F-BA11-486D-8748-FC67AF9D2D00}"/>
            </a:ext>
          </a:extLst>
        </xdr:cNvPr>
        <xdr:cNvCxnSpPr/>
      </xdr:nvCxnSpPr>
      <xdr:spPr>
        <a:xfrm>
          <a:off x="3514725" y="2014537"/>
          <a:ext cx="5394974" cy="0"/>
        </a:xfrm>
        <a:prstGeom prst="straightConnector1">
          <a:avLst/>
        </a:prstGeom>
        <a:ln w="19050">
          <a:solidFill>
            <a:schemeClr val="accent3">
              <a:lumMod val="60000"/>
              <a:lumOff val="40000"/>
            </a:schemeClr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</xdr:col>
      <xdr:colOff>54769</xdr:colOff>
      <xdr:row>15</xdr:row>
      <xdr:rowOff>168293</xdr:rowOff>
    </xdr:from>
    <xdr:ext cx="6274593" cy="3265469"/>
    <xdr:sp macro="" textlink="">
      <xdr:nvSpPr>
        <xdr:cNvPr id="125" name="ZoneTexte 124">
          <a:extLst>
            <a:ext uri="{FF2B5EF4-FFF2-40B4-BE49-F238E27FC236}">
              <a16:creationId xmlns:a16="http://schemas.microsoft.com/office/drawing/2014/main" id="{37A4622E-93F3-4859-A511-2F260A281549}"/>
            </a:ext>
          </a:extLst>
        </xdr:cNvPr>
        <xdr:cNvSpPr txBox="1"/>
      </xdr:nvSpPr>
      <xdr:spPr>
        <a:xfrm>
          <a:off x="5055394" y="3187718"/>
          <a:ext cx="6274593" cy="3265469"/>
        </a:xfrm>
        <a:prstGeom prst="rect">
          <a:avLst/>
        </a:prstGeom>
        <a:gradFill>
          <a:gsLst>
            <a:gs pos="0">
              <a:schemeClr val="tx2">
                <a:lumMod val="20000"/>
                <a:lumOff val="80000"/>
              </a:schemeClr>
            </a:gs>
            <a:gs pos="99000">
              <a:schemeClr val="bg1"/>
            </a:gs>
          </a:gsLst>
          <a:lin ang="16200000" scaled="1"/>
        </a:gradFill>
        <a:ln>
          <a:solidFill>
            <a:schemeClr val="tx2">
              <a:lumMod val="60000"/>
              <a:lumOff val="4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fr-FR" sz="1100" u="sng">
              <a:solidFill>
                <a:sysClr val="windowText" lastClr="000000"/>
              </a:solidFill>
            </a:rPr>
            <a:t>Placement</a:t>
          </a:r>
          <a:r>
            <a:rPr lang="fr-FR" sz="1100">
              <a:solidFill>
                <a:sysClr val="windowText" lastClr="000000"/>
              </a:solidFill>
            </a:rPr>
            <a:t> de </a:t>
          </a:r>
          <a:r>
            <a:rPr lang="fr-FR" sz="1100" b="1">
              <a:solidFill>
                <a:sysClr val="windowText" lastClr="000000"/>
              </a:solidFill>
            </a:rPr>
            <a:t>l'observateur </a:t>
          </a:r>
          <a:r>
            <a:rPr lang="fr-FR" sz="1100" b="0">
              <a:solidFill>
                <a:sysClr val="windowText" lastClr="000000"/>
              </a:solidFill>
            </a:rPr>
            <a:t>avec la tablette en hauteur</a:t>
          </a:r>
        </a:p>
        <a:p>
          <a:pPr algn="ctr"/>
          <a:r>
            <a:rPr lang="fr-FR" sz="1100" b="0">
              <a:solidFill>
                <a:sysClr val="windowText" lastClr="000000"/>
              </a:solidFill>
            </a:rPr>
            <a:t>si possible pour pouvoir filmer toute la course sans être géné.</a:t>
          </a:r>
        </a:p>
        <a:p>
          <a:endParaRPr lang="fr-FR" sz="1100" b="1">
            <a:solidFill>
              <a:sysClr val="windowText" lastClr="000000"/>
            </a:solidFill>
          </a:endParaRPr>
        </a:p>
        <a:p>
          <a:pPr algn="ctr"/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Sous Androïd, u</a:t>
          </a:r>
          <a:r>
            <a:rPr lang="fr-FR" sz="1100" b="1">
              <a:solidFill>
                <a:sysClr val="windowText" lastClr="000000"/>
              </a:solidFill>
            </a:rPr>
            <a:t>tilisation conseillée des applications Coach's eye (SDK GoPro) ou Seconds Count,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cette dernière application est également disponible sous IOS.</a:t>
          </a:r>
          <a:endParaRPr lang="fr-RE">
            <a:effectLst/>
          </a:endParaRPr>
        </a:p>
        <a:p>
          <a:endParaRPr lang="fr-FR" sz="1100">
            <a:solidFill>
              <a:sysClr val="windowText" lastClr="000000"/>
            </a:solidFill>
          </a:endParaRPr>
        </a:p>
        <a:p>
          <a:r>
            <a:rPr lang="fr-FR" sz="1100">
              <a:solidFill>
                <a:sysClr val="windowText" lastClr="000000"/>
              </a:solidFill>
            </a:rPr>
            <a:t>Il commence à filmer le donneur dès</a:t>
          </a:r>
          <a:r>
            <a:rPr lang="fr-FR" sz="1100" baseline="0">
              <a:solidFill>
                <a:sysClr val="windowText" lastClr="000000"/>
              </a:solidFill>
            </a:rPr>
            <a:t> l'annonce des ordres de départ du starter</a:t>
          </a:r>
        </a:p>
        <a:p>
          <a:r>
            <a:rPr lang="fr-FR" sz="1100" baseline="0">
              <a:solidFill>
                <a:sysClr val="windowText" lastClr="000000"/>
              </a:solidFill>
            </a:rPr>
            <a:t>et arrête lorsque le receveur à franchit la ligne d'arrivée.</a:t>
          </a:r>
        </a:p>
        <a:p>
          <a:r>
            <a:rPr lang="fr-FR" sz="1100" baseline="0">
              <a:solidFill>
                <a:sysClr val="windowText" lastClr="000000"/>
              </a:solidFill>
            </a:rPr>
            <a:t>Possibilité d'analyser :</a:t>
          </a:r>
        </a:p>
        <a:p>
          <a:r>
            <a:rPr lang="fr-FR" sz="1100" baseline="0">
              <a:solidFill>
                <a:sysClr val="windowText" lastClr="000000"/>
              </a:solidFill>
            </a:rPr>
            <a:t>	- les faux départ</a:t>
          </a:r>
        </a:p>
        <a:p>
          <a:r>
            <a:rPr lang="fr-FR" sz="1100" baseline="0">
              <a:solidFill>
                <a:sysClr val="windowText" lastClr="000000"/>
              </a:solidFill>
            </a:rPr>
            <a:t>	- le moment du départ du receveur</a:t>
          </a:r>
        </a:p>
        <a:p>
          <a:r>
            <a:rPr lang="fr-FR" sz="1100" baseline="0">
              <a:solidFill>
                <a:sysClr val="windowText" lastClr="000000"/>
              </a:solidFill>
            </a:rPr>
            <a:t>	- la zone de transmission</a:t>
          </a:r>
        </a:p>
        <a:p>
          <a:r>
            <a:rPr lang="fr-FR" sz="1100" baseline="0">
              <a:solidFill>
                <a:sysClr val="windowText" lastClr="000000"/>
              </a:solidFill>
            </a:rPr>
            <a:t>	- la qualité de la transmission</a:t>
          </a:r>
        </a:p>
        <a:p>
          <a:endParaRPr lang="fr-FR" sz="1100" u="sng" baseline="0">
            <a:solidFill>
              <a:sysClr val="windowText" lastClr="000000"/>
            </a:solidFill>
          </a:endParaRPr>
        </a:p>
        <a:p>
          <a:r>
            <a:rPr lang="fr-FR" sz="1100" u="sng" baseline="0">
              <a:solidFill>
                <a:sysClr val="windowText" lastClr="000000"/>
              </a:solidFill>
            </a:rPr>
            <a:t>Conseil pour filmer:</a:t>
          </a:r>
        </a:p>
        <a:p>
          <a:r>
            <a:rPr lang="fr-FR" sz="1100">
              <a:solidFill>
                <a:sysClr val="windowText" lastClr="000000"/>
              </a:solidFill>
            </a:rPr>
            <a:t>	- Coudes collés au corps</a:t>
          </a:r>
        </a:p>
        <a:p>
          <a:r>
            <a:rPr lang="fr-FR" sz="1100">
              <a:solidFill>
                <a:sysClr val="windowText" lastClr="000000"/>
              </a:solidFill>
            </a:rPr>
            <a:t>	- Ne</a:t>
          </a:r>
          <a:r>
            <a:rPr lang="fr-FR" sz="1100" baseline="0">
              <a:solidFill>
                <a:sysClr val="windowText" lastClr="000000"/>
              </a:solidFill>
            </a:rPr>
            <a:t> pas bouger les pieds, ni les bras</a:t>
          </a:r>
        </a:p>
        <a:p>
          <a:r>
            <a:rPr lang="fr-FR" sz="1100" baseline="0">
              <a:solidFill>
                <a:sysClr val="windowText" lastClr="000000"/>
              </a:solidFill>
            </a:rPr>
            <a:t>	- Bougerle buste pour suivre l'évolution du témoin</a:t>
          </a:r>
          <a:endParaRPr lang="fr-FR" sz="11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6</xdr:col>
      <xdr:colOff>69057</xdr:colOff>
      <xdr:row>13</xdr:row>
      <xdr:rowOff>180976</xdr:rowOff>
    </xdr:from>
    <xdr:to>
      <xdr:col>6</xdr:col>
      <xdr:colOff>83344</xdr:colOff>
      <xdr:row>16</xdr:row>
      <xdr:rowOff>23812</xdr:rowOff>
    </xdr:to>
    <xdr:cxnSp macro="">
      <xdr:nvCxnSpPr>
        <xdr:cNvPr id="126" name="Connecteur droit avec flèche 125">
          <a:extLst>
            <a:ext uri="{FF2B5EF4-FFF2-40B4-BE49-F238E27FC236}">
              <a16:creationId xmlns:a16="http://schemas.microsoft.com/office/drawing/2014/main" id="{D1D2E73C-F4BD-4AED-B8FA-BC0D8678C0C8}"/>
            </a:ext>
          </a:extLst>
        </xdr:cNvPr>
        <xdr:cNvCxnSpPr/>
      </xdr:nvCxnSpPr>
      <xdr:spPr>
        <a:xfrm>
          <a:off x="2926557" y="2819401"/>
          <a:ext cx="14287" cy="414336"/>
        </a:xfrm>
        <a:prstGeom prst="straightConnector1">
          <a:avLst/>
        </a:prstGeom>
        <a:ln w="19050">
          <a:solidFill>
            <a:schemeClr val="tx2">
              <a:lumMod val="60000"/>
              <a:lumOff val="40000"/>
            </a:schemeClr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392907</xdr:colOff>
      <xdr:row>8</xdr:row>
      <xdr:rowOff>83343</xdr:rowOff>
    </xdr:from>
    <xdr:to>
      <xdr:col>14</xdr:col>
      <xdr:colOff>261938</xdr:colOff>
      <xdr:row>9</xdr:row>
      <xdr:rowOff>130968</xdr:rowOff>
    </xdr:to>
    <xdr:sp macro="" textlink="">
      <xdr:nvSpPr>
        <xdr:cNvPr id="127" name="Rectangle : coins arrondis 126">
          <a:extLst>
            <a:ext uri="{FF2B5EF4-FFF2-40B4-BE49-F238E27FC236}">
              <a16:creationId xmlns:a16="http://schemas.microsoft.com/office/drawing/2014/main" id="{9E561094-8A43-4FC4-A755-12384F0948AE}"/>
            </a:ext>
          </a:extLst>
        </xdr:cNvPr>
        <xdr:cNvSpPr/>
      </xdr:nvSpPr>
      <xdr:spPr>
        <a:xfrm>
          <a:off x="8251032" y="1769268"/>
          <a:ext cx="583406" cy="238125"/>
        </a:xfrm>
        <a:prstGeom prst="roundRect">
          <a:avLst/>
        </a:prstGeom>
        <a:noFill/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ctr"/>
        <a:lstStyle/>
        <a:p>
          <a:pPr algn="ctr"/>
          <a:r>
            <a:rPr lang="fr-FR" sz="1000" b="1"/>
            <a:t>Zone 1</a:t>
          </a:r>
        </a:p>
      </xdr:txBody>
    </xdr:sp>
    <xdr:clientData/>
  </xdr:twoCellAnchor>
  <xdr:twoCellAnchor>
    <xdr:from>
      <xdr:col>12</xdr:col>
      <xdr:colOff>330994</xdr:colOff>
      <xdr:row>8</xdr:row>
      <xdr:rowOff>69055</xdr:rowOff>
    </xdr:from>
    <xdr:to>
      <xdr:col>13</xdr:col>
      <xdr:colOff>200025</xdr:colOff>
      <xdr:row>9</xdr:row>
      <xdr:rowOff>116680</xdr:rowOff>
    </xdr:to>
    <xdr:sp macro="" textlink="">
      <xdr:nvSpPr>
        <xdr:cNvPr id="128" name="Rectangle : coins arrondis 127">
          <a:extLst>
            <a:ext uri="{FF2B5EF4-FFF2-40B4-BE49-F238E27FC236}">
              <a16:creationId xmlns:a16="http://schemas.microsoft.com/office/drawing/2014/main" id="{4CE3F909-9629-47CC-ABE4-EBF115EE4C0B}"/>
            </a:ext>
          </a:extLst>
        </xdr:cNvPr>
        <xdr:cNvSpPr/>
      </xdr:nvSpPr>
      <xdr:spPr>
        <a:xfrm>
          <a:off x="7474744" y="1754980"/>
          <a:ext cx="583406" cy="238125"/>
        </a:xfrm>
        <a:prstGeom prst="roundRect">
          <a:avLst/>
        </a:prstGeom>
        <a:noFill/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ctr"/>
        <a:lstStyle/>
        <a:p>
          <a:pPr algn="ctr"/>
          <a:r>
            <a:rPr lang="fr-FR" sz="1000" b="1"/>
            <a:t>Zone 2</a:t>
          </a:r>
        </a:p>
      </xdr:txBody>
    </xdr:sp>
    <xdr:clientData/>
  </xdr:twoCellAnchor>
  <xdr:twoCellAnchor>
    <xdr:from>
      <xdr:col>11</xdr:col>
      <xdr:colOff>411957</xdr:colOff>
      <xdr:row>8</xdr:row>
      <xdr:rowOff>54768</xdr:rowOff>
    </xdr:from>
    <xdr:to>
      <xdr:col>12</xdr:col>
      <xdr:colOff>280988</xdr:colOff>
      <xdr:row>9</xdr:row>
      <xdr:rowOff>102393</xdr:rowOff>
    </xdr:to>
    <xdr:sp macro="" textlink="">
      <xdr:nvSpPr>
        <xdr:cNvPr id="129" name="Rectangle : coins arrondis 128">
          <a:extLst>
            <a:ext uri="{FF2B5EF4-FFF2-40B4-BE49-F238E27FC236}">
              <a16:creationId xmlns:a16="http://schemas.microsoft.com/office/drawing/2014/main" id="{EDBA41F9-85CB-42A6-A4A8-5666BC185F06}"/>
            </a:ext>
          </a:extLst>
        </xdr:cNvPr>
        <xdr:cNvSpPr/>
      </xdr:nvSpPr>
      <xdr:spPr>
        <a:xfrm>
          <a:off x="6841332" y="1740693"/>
          <a:ext cx="583406" cy="238125"/>
        </a:xfrm>
        <a:prstGeom prst="roundRect">
          <a:avLst/>
        </a:prstGeom>
        <a:noFill/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ctr"/>
        <a:lstStyle/>
        <a:p>
          <a:pPr algn="ctr"/>
          <a:r>
            <a:rPr lang="fr-FR" sz="1000" b="1"/>
            <a:t>Zone 3</a:t>
          </a:r>
        </a:p>
      </xdr:txBody>
    </xdr:sp>
    <xdr:clientData/>
  </xdr:twoCellAnchor>
  <xdr:twoCellAnchor>
    <xdr:from>
      <xdr:col>10</xdr:col>
      <xdr:colOff>433388</xdr:colOff>
      <xdr:row>8</xdr:row>
      <xdr:rowOff>64293</xdr:rowOff>
    </xdr:from>
    <xdr:to>
      <xdr:col>11</xdr:col>
      <xdr:colOff>302419</xdr:colOff>
      <xdr:row>9</xdr:row>
      <xdr:rowOff>111918</xdr:rowOff>
    </xdr:to>
    <xdr:sp macro="" textlink="">
      <xdr:nvSpPr>
        <xdr:cNvPr id="130" name="Rectangle : coins arrondis 129">
          <a:extLst>
            <a:ext uri="{FF2B5EF4-FFF2-40B4-BE49-F238E27FC236}">
              <a16:creationId xmlns:a16="http://schemas.microsoft.com/office/drawing/2014/main" id="{5BB463DB-1252-4DE1-AC5C-ACB6302315FA}"/>
            </a:ext>
          </a:extLst>
        </xdr:cNvPr>
        <xdr:cNvSpPr/>
      </xdr:nvSpPr>
      <xdr:spPr>
        <a:xfrm>
          <a:off x="6148388" y="1750218"/>
          <a:ext cx="583406" cy="238125"/>
        </a:xfrm>
        <a:prstGeom prst="roundRect">
          <a:avLst/>
        </a:prstGeom>
        <a:noFill/>
        <a:ln w="9525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2"/>
        </a:fontRef>
      </xdr:style>
      <xdr:txBody>
        <a:bodyPr vertOverflow="clip" horzOverflow="clip" rtlCol="0" anchor="ctr"/>
        <a:lstStyle/>
        <a:p>
          <a:pPr algn="ctr"/>
          <a:r>
            <a:rPr lang="fr-FR" sz="1000" b="1"/>
            <a:t>Zone 4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f-lohmueller.de/pov_tut/animate/anim260f.htm" TargetMode="Externa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iceps.fr/wp-content/uploads/2014/09/Tuto-SpintTimer.pdf" TargetMode="External"/><Relationship Id="rId13" Type="http://schemas.openxmlformats.org/officeDocument/2006/relationships/hyperlink" Target="https://eps.ac-besancon.fr/wp-content/uploads/sites/36/2016/07/Kinovea-2014.pdf" TargetMode="External"/><Relationship Id="rId3" Type="http://schemas.openxmlformats.org/officeDocument/2006/relationships/hyperlink" Target="https://apkpure.com/video-stopwatch/us.secondscount" TargetMode="External"/><Relationship Id="rId7" Type="http://schemas.openxmlformats.org/officeDocument/2006/relationships/hyperlink" Target="https://eps.ac-creteil.fr/IMG/pdf/utilisation_de_beam_trainer.pdf" TargetMode="External"/><Relationship Id="rId12" Type="http://schemas.openxmlformats.org/officeDocument/2006/relationships/hyperlink" Target="https://www.kinovea.org/download.html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https://play.google.com/store/apps/details?id=com.beamtrainerble&amp;hl=fr&amp;gl=US" TargetMode="External"/><Relationship Id="rId16" Type="http://schemas.openxmlformats.org/officeDocument/2006/relationships/printerSettings" Target="../printerSettings/printerSettings5.bin"/><Relationship Id="rId1" Type="http://schemas.openxmlformats.org/officeDocument/2006/relationships/hyperlink" Target="https://apkpure.com/coach-s-eye/com.techsmith.apps.coachseye.free" TargetMode="External"/><Relationship Id="rId6" Type="http://schemas.openxmlformats.org/officeDocument/2006/relationships/hyperlink" Target="https://www.youtube.com/watch?v=BA-9cRCnwGc" TargetMode="External"/><Relationship Id="rId11" Type="http://schemas.openxmlformats.org/officeDocument/2006/relationships/hyperlink" Target="https://appmaker.se/blog/" TargetMode="External"/><Relationship Id="rId5" Type="http://schemas.openxmlformats.org/officeDocument/2006/relationships/hyperlink" Target="https://www.youtube.com/watch?v=cq4m7NufwF0" TargetMode="External"/><Relationship Id="rId15" Type="http://schemas.openxmlformats.org/officeDocument/2006/relationships/hyperlink" Target="https://eps.ac-creteil.fr/IMG/pdf/ficheaccompagnement-creer_reseau_wifi.pdf" TargetMode="External"/><Relationship Id="rId10" Type="http://schemas.openxmlformats.org/officeDocument/2006/relationships/hyperlink" Target="https://secondscount.com/support" TargetMode="External"/><Relationship Id="rId4" Type="http://schemas.openxmlformats.org/officeDocument/2006/relationships/hyperlink" Target="https://apps.apple.com/fr/app/sprinttimer-photo-finish/id430807521" TargetMode="External"/><Relationship Id="rId9" Type="http://schemas.openxmlformats.org/officeDocument/2006/relationships/hyperlink" Target="https://www.youtube.com/watch?v=npKuSkt1Zcg" TargetMode="External"/><Relationship Id="rId14" Type="http://schemas.openxmlformats.org/officeDocument/2006/relationships/hyperlink" Target="https://appmaker.se/setting-up-a-battery-powered-router-for-start-sender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7FB58-ABD4-4DFE-8B9F-5007B6511573}">
  <dimension ref="A1"/>
  <sheetViews>
    <sheetView showGridLines="0" showRowColHeaders="0" zoomScale="80" zoomScaleNormal="80" workbookViewId="0">
      <selection activeCell="S46" sqref="S46"/>
    </sheetView>
  </sheetViews>
  <sheetFormatPr baseColWidth="10" defaultColWidth="11.42578125" defaultRowHeight="12.75"/>
  <cols>
    <col min="1" max="16384" width="11.42578125" style="1"/>
  </cols>
  <sheetData/>
  <sheetProtection sheet="1" selectLockedCells="1" selectUnlockedCells="1"/>
  <pageMargins left="0.69930555555555596" right="0.69930555555555596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32785-E65B-426A-B3ED-BB43A9DB2572}">
  <dimension ref="A1:AL83"/>
  <sheetViews>
    <sheetView workbookViewId="0">
      <pane ySplit="3" topLeftCell="A4" activePane="bottomLeft" state="frozen"/>
      <selection pane="bottomLeft" activeCell="AB2" sqref="AB2"/>
    </sheetView>
  </sheetViews>
  <sheetFormatPr baseColWidth="10" defaultColWidth="0" defaultRowHeight="15" zeroHeight="1"/>
  <cols>
    <col min="1" max="1" width="3.7109375" customWidth="1"/>
    <col min="2" max="2" width="32.7109375" customWidth="1"/>
    <col min="3" max="3" width="4.140625" bestFit="1" customWidth="1"/>
    <col min="4" max="4" width="9.7109375" bestFit="1" customWidth="1"/>
    <col min="5" max="5" width="3" bestFit="1" customWidth="1"/>
    <col min="6" max="6" width="28.28515625" customWidth="1"/>
    <col min="7" max="7" width="4.140625" bestFit="1" customWidth="1"/>
    <col min="8" max="8" width="9.7109375" bestFit="1" customWidth="1"/>
    <col min="9" max="9" width="11.140625" hidden="1" customWidth="1"/>
    <col min="10" max="10" width="10.85546875" hidden="1" customWidth="1"/>
    <col min="11" max="11" width="6.5703125" bestFit="1" customWidth="1"/>
    <col min="12" max="12" width="4" hidden="1" customWidth="1"/>
    <col min="13" max="13" width="9.7109375" bestFit="1" customWidth="1"/>
    <col min="14" max="14" width="11.140625" hidden="1" customWidth="1"/>
    <col min="15" max="15" width="10.85546875" hidden="1" customWidth="1"/>
    <col min="16" max="16" width="6.5703125" bestFit="1" customWidth="1"/>
    <col min="17" max="17" width="4" bestFit="1" customWidth="1"/>
    <col min="18" max="18" width="9.7109375" bestFit="1" customWidth="1"/>
    <col min="19" max="19" width="6" hidden="1" customWidth="1"/>
    <col min="20" max="20" width="4.5703125" hidden="1" customWidth="1"/>
    <col min="21" max="21" width="3" hidden="1" customWidth="1"/>
    <col min="22" max="22" width="2.7109375" hidden="1" customWidth="1"/>
    <col min="23" max="24" width="4.5703125" hidden="1" customWidth="1"/>
    <col min="25" max="25" width="4.28515625" hidden="1" customWidth="1"/>
    <col min="26" max="26" width="3" bestFit="1" customWidth="1"/>
    <col min="27" max="27" width="35.85546875" customWidth="1"/>
    <col min="28" max="28" width="6" bestFit="1" customWidth="1"/>
    <col min="29" max="29" width="4.5703125" customWidth="1"/>
    <col min="30" max="30" width="7.42578125" bestFit="1" customWidth="1"/>
    <col min="31" max="31" width="4.42578125" customWidth="1"/>
    <col min="32" max="32" width="30.7109375" customWidth="1"/>
    <col min="33" max="33" width="2.7109375" bestFit="1" customWidth="1"/>
    <col min="34" max="34" width="29.85546875" customWidth="1"/>
    <col min="35" max="35" width="2.7109375" bestFit="1" customWidth="1"/>
    <col min="36" max="36" width="13" customWidth="1"/>
    <col min="37" max="37" width="10" bestFit="1" customWidth="1"/>
    <col min="38" max="38" width="11.42578125" customWidth="1"/>
    <col min="39" max="16384" width="11.42578125" hidden="1"/>
  </cols>
  <sheetData>
    <row r="1" spans="1:37" ht="15.75" thickBot="1"/>
    <row r="2" spans="1:37" ht="15.75" thickBot="1">
      <c r="A2" s="321"/>
      <c r="B2" s="322"/>
      <c r="C2" s="322"/>
      <c r="D2" s="322"/>
      <c r="E2" s="322"/>
      <c r="F2" s="322"/>
      <c r="G2" s="323"/>
      <c r="H2" s="323"/>
      <c r="I2" s="689" t="s">
        <v>126</v>
      </c>
      <c r="J2" s="690"/>
      <c r="K2" s="691" t="s">
        <v>127</v>
      </c>
      <c r="L2" s="692"/>
      <c r="M2" s="693"/>
      <c r="N2" s="689" t="s">
        <v>126</v>
      </c>
      <c r="O2" s="690"/>
      <c r="P2" s="691" t="s">
        <v>128</v>
      </c>
      <c r="Q2" s="692"/>
      <c r="R2" s="693"/>
      <c r="S2" s="324" t="s">
        <v>129</v>
      </c>
      <c r="T2" s="324" t="s">
        <v>130</v>
      </c>
      <c r="U2" s="324"/>
      <c r="V2" s="324"/>
      <c r="W2" s="324"/>
      <c r="X2" s="324"/>
      <c r="Y2" s="324"/>
      <c r="AA2" s="325" t="s">
        <v>131</v>
      </c>
      <c r="AB2" s="326" t="s">
        <v>249</v>
      </c>
      <c r="AD2" s="324"/>
      <c r="AE2" s="324"/>
      <c r="AF2" s="694" t="s">
        <v>132</v>
      </c>
      <c r="AG2" s="695"/>
      <c r="AH2" s="695"/>
      <c r="AI2" s="695"/>
      <c r="AJ2" s="695"/>
      <c r="AK2" s="696"/>
    </row>
    <row r="3" spans="1:37" ht="22.5">
      <c r="A3" s="330"/>
      <c r="B3" s="331" t="s">
        <v>133</v>
      </c>
      <c r="C3" s="332" t="s">
        <v>134</v>
      </c>
      <c r="D3" s="332" t="s">
        <v>135</v>
      </c>
      <c r="E3" s="332"/>
      <c r="F3" s="332" t="s">
        <v>136</v>
      </c>
      <c r="G3" s="332" t="s">
        <v>134</v>
      </c>
      <c r="H3" s="332" t="s">
        <v>135</v>
      </c>
      <c r="I3" s="333" t="s">
        <v>137</v>
      </c>
      <c r="J3" s="333" t="s">
        <v>138</v>
      </c>
      <c r="K3" s="334">
        <v>60</v>
      </c>
      <c r="L3" s="334" t="s">
        <v>139</v>
      </c>
      <c r="M3" s="334" t="s">
        <v>140</v>
      </c>
      <c r="N3" s="333" t="s">
        <v>141</v>
      </c>
      <c r="O3" s="333" t="s">
        <v>142</v>
      </c>
      <c r="P3" s="334">
        <v>60</v>
      </c>
      <c r="Q3" s="334" t="s">
        <v>139</v>
      </c>
      <c r="R3" s="335" t="s">
        <v>140</v>
      </c>
      <c r="S3" s="330" t="s">
        <v>103</v>
      </c>
      <c r="T3" s="330" t="s">
        <v>103</v>
      </c>
      <c r="U3" s="330"/>
      <c r="V3" s="330"/>
      <c r="W3" s="330"/>
      <c r="X3" s="330"/>
      <c r="Y3" s="330" t="s">
        <v>115</v>
      </c>
      <c r="Z3" s="324"/>
      <c r="AA3" s="336" t="s">
        <v>88</v>
      </c>
      <c r="AB3" s="336" t="s">
        <v>143</v>
      </c>
      <c r="AC3" s="324"/>
      <c r="AD3" s="337" t="s">
        <v>144</v>
      </c>
      <c r="AE3" s="338"/>
      <c r="AF3" s="327" t="s">
        <v>133</v>
      </c>
      <c r="AG3" s="339" t="s">
        <v>145</v>
      </c>
      <c r="AH3" s="328" t="s">
        <v>136</v>
      </c>
      <c r="AI3" s="339" t="s">
        <v>145</v>
      </c>
      <c r="AJ3" s="328" t="s">
        <v>146</v>
      </c>
      <c r="AK3" s="329" t="s">
        <v>147</v>
      </c>
    </row>
    <row r="4" spans="1:37" ht="24" customHeight="1">
      <c r="A4" s="330" t="s">
        <v>148</v>
      </c>
      <c r="B4" s="340" t="s">
        <v>148</v>
      </c>
      <c r="C4" s="341" t="str">
        <f>IF(B4&lt;&gt;0,INDEX(Perf.Sprint!$C$4:$C$41,MATCH(B4,Perf.Sprint!$B$4:$B$41,0)),"")</f>
        <v>F</v>
      </c>
      <c r="D4" s="342" t="str">
        <f t="array" ref="D4">IF(B4&lt;&gt;0,INDEX(Perf.Sprint!$AM$4:$AM$40,MATCH(B4,Perf.Sprint!$B$4:$B$40,0)),"")</f>
        <v/>
      </c>
      <c r="E4" s="343" t="s">
        <v>149</v>
      </c>
      <c r="F4" s="344" t="s">
        <v>155</v>
      </c>
      <c r="G4" s="341" t="str">
        <f>IF(F4&lt;&gt;0,INDEX(Perf.Sprint!$C$4:$C$41,MATCH(F4,Perf.Sprint!$B$4:$B$41,0)),"")</f>
        <v>M</v>
      </c>
      <c r="H4" s="342" t="str">
        <f t="array" ref="H4">IF(F4&lt;&gt;0,INDEX(Perf.Sprint!$AM$4:$AM$40,MATCH(F4,Perf.Sprint!$B$4:$B$40,0)),"")</f>
        <v/>
      </c>
      <c r="I4" s="345" t="str">
        <f>IF(B4&lt;&gt;0,INDEX(Perf.Sprint!$BJ$4:$BJ$40,MATCH(B4,Perf.Sprint!$B$4:$B$40,0)),"")</f>
        <v/>
      </c>
      <c r="J4" s="345" t="str">
        <f>IF(F4&lt;&gt;0,INDEX(Perf.Sprint!$BG$4:$BG$40,MATCH(F4,Perf.Sprint!$B$4:$B$40,0)),"")</f>
        <v/>
      </c>
      <c r="K4" s="346" t="str">
        <f t="shared" ref="K4:K23" si="0">IFERROR(SUM(J4+I4),"")</f>
        <v/>
      </c>
      <c r="L4" s="347" t="str">
        <f t="shared" ref="L4:L23" si="1">IF(K4="","",ROUND($K$3/K4,1))</f>
        <v/>
      </c>
      <c r="M4" s="342" t="str">
        <f t="shared" ref="M4:M23" si="2">IF(K4="","",(L4*3600)/1000)</f>
        <v/>
      </c>
      <c r="N4" s="345" t="str">
        <f>IF(F4&lt;&gt;0,INDEX(Perf.Sprint!$BJ$4:$BJ$40,MATCH(F4,Perf.Sprint!$B$4:$B$40,0)),"")</f>
        <v/>
      </c>
      <c r="O4" s="345" t="str">
        <f>IF(B4&lt;&gt;0,INDEX(Perf.Sprint!$BG$4:$BG$40,MATCH(B4,Perf.Sprint!$B$4:$B$40,0)),"")</f>
        <v/>
      </c>
      <c r="P4" s="346" t="str">
        <f t="shared" ref="P4:P23" si="3">IFERROR(SUM(O4+N4),"")</f>
        <v/>
      </c>
      <c r="Q4" s="347" t="str">
        <f t="shared" ref="Q4:Q23" si="4">IF(P4="","",ROUND($K$3/P4,1))</f>
        <v/>
      </c>
      <c r="R4" s="348" t="str">
        <f t="shared" ref="R4:R23" si="5">IF(P4="","",(Q4*3600)/1000)</f>
        <v/>
      </c>
      <c r="S4" s="349" t="str">
        <f t="shared" ref="S4:S23" si="6">IFERROR(AVERAGE(M4,R4),"")</f>
        <v/>
      </c>
      <c r="T4" s="350" t="str">
        <f t="shared" ref="T4:T23" si="7">IFERROR(AVERAGE(K4,P4),"")</f>
        <v/>
      </c>
      <c r="U4" s="351">
        <v>1</v>
      </c>
      <c r="V4" s="352" t="str">
        <f t="array" aca="1" ref="V4" ca="1">IFERROR(IF(ROWS($4:4)&lt;=COUNTA($A$4:$A$29),INDEX($A$4:$A$29,SMALL(IF($A$4:$A$29&lt;&gt;"",ROW(INDIRECT("1:"&amp;ROWS($A$4:$A$29)))),ROWS($4:4))),""),"")</f>
        <v>A</v>
      </c>
      <c r="W4" s="352" t="str">
        <f ca="1">IFERROR(INDEX($S$4:$S$29,MATCH($V4,$A$4:$A$29,0)),"")</f>
        <v/>
      </c>
      <c r="X4" s="352" t="str">
        <f ca="1">IF(W4&lt;&gt;"",$W$4:$W$29+ROW()/1000,"")</f>
        <v/>
      </c>
      <c r="Y4" s="351" t="str">
        <f ca="1">IFERROR(RANK($X4,$X$4:$X$29,0)+COUNTIF(X$4:X4,X4)-1,"")</f>
        <v/>
      </c>
      <c r="Z4" s="330"/>
      <c r="AA4" s="353" t="str">
        <f>IF(Liste!B3&lt;&gt;"",Liste!B3,"")</f>
        <v>A</v>
      </c>
      <c r="AB4" s="354">
        <f t="shared" ref="AB4:AB41" si="8">IF(AA4&lt;&gt;"",IF($AB$2="oui",0,COUNTIF($B$3:$F$23,AA4)),"")</f>
        <v>1</v>
      </c>
      <c r="AC4" s="330"/>
      <c r="AD4" s="355">
        <f t="shared" ref="AD4:AD25" ca="1" si="9">IFERROR(SMALL($Y$4:$Y$29,$U4),"")</f>
        <v>1</v>
      </c>
      <c r="AE4" s="355" t="str">
        <f ca="1">IF(AD4&lt;&gt;"",INDEX($V$4:$V$29,MATCH($AD$4:$AD$29,$Y$4:$Y$29,0)),"")</f>
        <v>B</v>
      </c>
      <c r="AF4" s="356" t="str">
        <f t="shared" ref="AF4:AF29" ca="1" si="10">IF(AD4&lt;&gt;"",(INDEX($B$4:$B$29,MATCH($AE4,$A$4:$A$29,0))),"")</f>
        <v>C</v>
      </c>
      <c r="AG4" s="356" t="str">
        <f t="array" aca="1" ref="AG4" ca="1">IF(AF4&lt;&gt;"",INDEX(Perf.Sprint!$C$4:$C$41,MATCH(AF4,Perf.Sprint!$B$4:$B$41,0)),"")</f>
        <v>M</v>
      </c>
      <c r="AH4" s="356" t="str">
        <f t="shared" ref="AH4:AH29" ca="1" si="11">IF(AD4&lt;&gt;"",(INDEX($F$4:$F$29,MATCH($AE4,$A$4:$A$29,0))),"")</f>
        <v>D</v>
      </c>
      <c r="AI4" s="356" t="str">
        <f t="array" aca="1" ref="AI4" ca="1">IF(AH4&lt;&gt;"",INDEX(Perf.Sprint!$C$4:$C$41,MATCH(AH4,Perf.Sprint!$B$4:$B$41,0)),"")</f>
        <v>M</v>
      </c>
      <c r="AJ4" s="357">
        <f t="shared" ref="AJ4:AJ29" ca="1" si="12">IFERROR(INDEX($W$4:$W$29,MATCH($AE4,$V$4:$V$29,0)),"")</f>
        <v>24.66</v>
      </c>
      <c r="AK4" s="358">
        <f t="shared" ref="AK4:AK29" ca="1" si="13">IFERROR(INDEX($T$4:$T$29,MATCH($AE4,$V$4:$V$29,0)),"")</f>
        <v>8.7249999999999996</v>
      </c>
    </row>
    <row r="5" spans="1:37" ht="24" customHeight="1">
      <c r="A5" s="330" t="s">
        <v>150</v>
      </c>
      <c r="B5" s="359" t="s">
        <v>151</v>
      </c>
      <c r="C5" s="360" t="str">
        <f>IF(B5&lt;&gt;0,INDEX(Perf.Sprint!$C$4:$C$41,MATCH(B5,Perf.Sprint!$B$4:$B$41,0)),"")</f>
        <v>M</v>
      </c>
      <c r="D5" s="361">
        <f t="array" ref="D5">IF(B5&lt;&gt;0,INDEX(Perf.Sprint!$AM$4:$AM$40,MATCH(B5,Perf.Sprint!$B$4:$B$40,0)),"")</f>
        <v>21.96</v>
      </c>
      <c r="E5" s="343" t="s">
        <v>149</v>
      </c>
      <c r="F5" s="362" t="s">
        <v>152</v>
      </c>
      <c r="G5" s="360" t="str">
        <f>IF(F5&lt;&gt;0,INDEX(Perf.Sprint!$C$4:$C$41,MATCH(F5,Perf.Sprint!$B$4:$B$41,0)),"")</f>
        <v>M</v>
      </c>
      <c r="H5" s="361">
        <f t="array" ref="H5">IF(F5&lt;&gt;0,INDEX(Perf.Sprint!$AM$4:$AM$40,MATCH(F5,Perf.Sprint!$B$4:$B$40,0)),"")</f>
        <v>22.68</v>
      </c>
      <c r="I5" s="345">
        <f>IF(B5&lt;&gt;0,INDEX(Perf.Sprint!$BJ$4:$BJ$40,MATCH(B5,Perf.Sprint!$B$4:$B$40,0)),"")</f>
        <v>5.5</v>
      </c>
      <c r="J5" s="345">
        <f>IF(F5&lt;&gt;0,INDEX(Perf.Sprint!$BG$4:$BG$40,MATCH(F5,Perf.Sprint!$B$4:$B$40,0)),"")</f>
        <v>3.3</v>
      </c>
      <c r="K5" s="363">
        <f t="shared" si="0"/>
        <v>8.8000000000000007</v>
      </c>
      <c r="L5" s="364">
        <f t="shared" si="1"/>
        <v>6.8</v>
      </c>
      <c r="M5" s="361">
        <f t="shared" si="2"/>
        <v>24.48</v>
      </c>
      <c r="N5" s="345">
        <f>IF(F5&lt;&gt;0,INDEX(Perf.Sprint!$BJ$4:$BJ$40,MATCH(F5,Perf.Sprint!$B$4:$B$40,0)),"")</f>
        <v>5.4499999999999993</v>
      </c>
      <c r="O5" s="345">
        <f>IF(B5&lt;&gt;0,INDEX(Perf.Sprint!$BG$4:$BG$40,MATCH(B5,Perf.Sprint!$B$4:$B$40,0)),"")</f>
        <v>3.1999999999999997</v>
      </c>
      <c r="P5" s="363">
        <f t="shared" si="3"/>
        <v>8.6499999999999986</v>
      </c>
      <c r="Q5" s="364">
        <f t="shared" si="4"/>
        <v>6.9</v>
      </c>
      <c r="R5" s="365">
        <f t="shared" si="5"/>
        <v>24.84</v>
      </c>
      <c r="S5" s="349">
        <f t="shared" si="6"/>
        <v>24.66</v>
      </c>
      <c r="T5" s="350">
        <f t="shared" si="7"/>
        <v>8.7249999999999996</v>
      </c>
      <c r="U5" s="351">
        <v>2</v>
      </c>
      <c r="V5" s="352" t="str">
        <f t="array" aca="1" ref="V5" ca="1">IFERROR(IF(ROWS($4:5)&lt;=COUNTA($A$4:$A$29),INDEX($A$4:$A$29,SMALL(IF($A$4:$A$29&lt;&gt;"",ROW(INDIRECT("1:"&amp;ROWS($A$4:$A$29)))),ROWS($4:5))),""),"")</f>
        <v>B</v>
      </c>
      <c r="W5" s="352">
        <f t="shared" ref="W5:W29" ca="1" si="14">IFERROR(INDEX($S$4:$S$29,MATCH($V5,$A$4:$A$29,0)),"")</f>
        <v>24.66</v>
      </c>
      <c r="X5" s="352">
        <f t="shared" ref="X5:X29" ca="1" si="15">IF(W5&lt;&gt;"",$W$4:$W$29+ROW()/1000,"")</f>
        <v>24.664999999999999</v>
      </c>
      <c r="Y5" s="351">
        <f ca="1">IFERROR(RANK($X5,$X$4:$X$29,0)+COUNTIF(X$4:X5,X5)-1,"")</f>
        <v>1</v>
      </c>
      <c r="Z5" s="350"/>
      <c r="AA5" s="353" t="str">
        <f>IF(Liste!B4&lt;&gt;"",Liste!B4,"")</f>
        <v>B</v>
      </c>
      <c r="AB5" s="354">
        <f t="shared" si="8"/>
        <v>1</v>
      </c>
      <c r="AC5" s="350"/>
      <c r="AD5" s="366">
        <f t="shared" ca="1" si="9"/>
        <v>2</v>
      </c>
      <c r="AE5" s="366" t="str">
        <f ca="1">IF(AD5&lt;&gt;"",INDEX($V$4:$V$29,MATCH($AD$4:$AD$29,$Y$4:$Y$29,0)),"")</f>
        <v>F</v>
      </c>
      <c r="AF5" s="367" t="str">
        <f t="shared" ca="1" si="10"/>
        <v>K</v>
      </c>
      <c r="AG5" s="367" t="str">
        <f t="array" aca="1" ref="AG5" ca="1">IF(AF5&lt;&gt;"",INDEX(Perf.Sprint!$C$4:$C$41,MATCH(AF5,Perf.Sprint!$B$4:$B$41,0)),"")</f>
        <v>M</v>
      </c>
      <c r="AH5" s="367" t="str">
        <f t="shared" ca="1" si="11"/>
        <v>V</v>
      </c>
      <c r="AI5" s="367" t="str">
        <f t="array" aca="1" ref="AI5" ca="1">IF(AH5&lt;&gt;"",INDEX(Perf.Sprint!$C$4:$C$41,MATCH(AH5,Perf.Sprint!$B$4:$B$41,0)),"")</f>
        <v>F</v>
      </c>
      <c r="AJ5" s="368">
        <f t="shared" ca="1" si="12"/>
        <v>22.68</v>
      </c>
      <c r="AK5" s="369">
        <f t="shared" ca="1" si="13"/>
        <v>9.5249999999999986</v>
      </c>
    </row>
    <row r="6" spans="1:37" ht="24" customHeight="1">
      <c r="A6" s="330" t="s">
        <v>151</v>
      </c>
      <c r="B6" s="340" t="s">
        <v>153</v>
      </c>
      <c r="C6" s="341" t="str">
        <f>IF(B6&lt;&gt;0,INDEX(Perf.Sprint!$C$4:$C$41,MATCH(B6,Perf.Sprint!$B$4:$B$41,0)),"")</f>
        <v>M</v>
      </c>
      <c r="D6" s="342">
        <f t="array" ref="D6">IF(B6&lt;&gt;0,INDEX(Perf.Sprint!$AM$4:$AM$40,MATCH(B6,Perf.Sprint!$B$4:$B$40,0)),"")</f>
        <v>18.72</v>
      </c>
      <c r="E6" s="343" t="s">
        <v>149</v>
      </c>
      <c r="F6" s="344" t="s">
        <v>8</v>
      </c>
      <c r="G6" s="341" t="str">
        <f>IF(F6&lt;&gt;0,INDEX(Perf.Sprint!$C$4:$C$41,MATCH(F6,Perf.Sprint!$B$4:$B$41,0)),"")</f>
        <v>F</v>
      </c>
      <c r="H6" s="342">
        <f t="array" ref="H6">IF(F6&lt;&gt;0,INDEX(Perf.Sprint!$AM$4:$AM$40,MATCH(F6,Perf.Sprint!$B$4:$B$40,0)),"")</f>
        <v>17.64</v>
      </c>
      <c r="I6" s="345">
        <f>IF(B6&lt;&gt;0,INDEX(Perf.Sprint!$BJ$4:$BJ$40,MATCH(B6,Perf.Sprint!$B$4:$B$40,0)),"")</f>
        <v>6.6999999999999993</v>
      </c>
      <c r="J6" s="345">
        <f>IF(F6&lt;&gt;0,INDEX(Perf.Sprint!$BG$4:$BG$40,MATCH(F6,Perf.Sprint!$B$4:$B$40,0)),"")</f>
        <v>4.4000000000000004</v>
      </c>
      <c r="K6" s="346">
        <f t="shared" si="0"/>
        <v>11.1</v>
      </c>
      <c r="L6" s="347">
        <f t="shared" si="1"/>
        <v>5.4</v>
      </c>
      <c r="M6" s="342">
        <f t="shared" si="2"/>
        <v>19.440000000000001</v>
      </c>
      <c r="N6" s="345">
        <f>IF(F6&lt;&gt;0,INDEX(Perf.Sprint!$BJ$4:$BJ$40,MATCH(F6,Perf.Sprint!$B$4:$B$40,0)),"")</f>
        <v>6.9499999999999993</v>
      </c>
      <c r="O6" s="345">
        <f>IF(B6&lt;&gt;0,INDEX(Perf.Sprint!$BG$4:$BG$40,MATCH(B6,Perf.Sprint!$B$4:$B$40,0)),"")</f>
        <v>4.3</v>
      </c>
      <c r="P6" s="346">
        <f t="shared" si="3"/>
        <v>11.25</v>
      </c>
      <c r="Q6" s="347">
        <f t="shared" si="4"/>
        <v>5.3</v>
      </c>
      <c r="R6" s="348">
        <f t="shared" si="5"/>
        <v>19.079999999999998</v>
      </c>
      <c r="S6" s="349">
        <f t="shared" si="6"/>
        <v>19.259999999999998</v>
      </c>
      <c r="T6" s="350">
        <f t="shared" si="7"/>
        <v>11.175000000000001</v>
      </c>
      <c r="U6" s="351">
        <v>3</v>
      </c>
      <c r="V6" s="352" t="str">
        <f t="array" aca="1" ref="V6" ca="1">IFERROR(IF(ROWS($4:6)&lt;=COUNTA($A$4:$A$29),INDEX($A$4:$A$29,SMALL(IF($A$4:$A$29&lt;&gt;"",ROW(INDIRECT("1:"&amp;ROWS($A$4:$A$29)))),ROWS($4:6))),""),"")</f>
        <v>C</v>
      </c>
      <c r="W6" s="352">
        <f t="shared" ca="1" si="14"/>
        <v>19.259999999999998</v>
      </c>
      <c r="X6" s="352">
        <f t="shared" ca="1" si="15"/>
        <v>19.265999999999998</v>
      </c>
      <c r="Y6" s="351">
        <f ca="1">IFERROR(RANK($X6,$X$4:$X$29,0)+COUNTIF(X$4:X6,X6)-1,"")</f>
        <v>8</v>
      </c>
      <c r="Z6" s="350"/>
      <c r="AA6" s="353" t="str">
        <f>IF(Liste!B5&lt;&gt;"",Liste!B5,"")</f>
        <v>C</v>
      </c>
      <c r="AB6" s="354">
        <f t="shared" si="8"/>
        <v>1</v>
      </c>
      <c r="AC6" s="350"/>
      <c r="AD6" s="355">
        <f t="shared" ca="1" si="9"/>
        <v>3</v>
      </c>
      <c r="AE6" s="355" t="str">
        <f t="shared" ref="AE6:AE29" ca="1" si="16">IF(AD6&lt;&gt;"",INDEX($V$4:$V$29,MATCH($AD$4:$AD$29,$Y$4:$Y$29,0)),"")</f>
        <v>G</v>
      </c>
      <c r="AF6" s="356" t="str">
        <f t="shared" ca="1" si="10"/>
        <v>N</v>
      </c>
      <c r="AG6" s="356" t="str">
        <f t="array" aca="1" ref="AG6" ca="1">IF(AF6&lt;&gt;"",INDEX(Perf.Sprint!$C$4:$C$41,MATCH(AF6,Perf.Sprint!$B$4:$B$41,0)),"")</f>
        <v>M</v>
      </c>
      <c r="AH6" s="356" t="str">
        <f t="shared" ca="1" si="11"/>
        <v>O</v>
      </c>
      <c r="AI6" s="356" t="str">
        <f t="array" aca="1" ref="AI6" ca="1">IF(AH6&lt;&gt;"",INDEX(Perf.Sprint!$C$4:$C$41,MATCH(AH6,Perf.Sprint!$B$4:$B$41,0)),"")</f>
        <v>F</v>
      </c>
      <c r="AJ6" s="357">
        <f t="shared" ca="1" si="12"/>
        <v>21.96</v>
      </c>
      <c r="AK6" s="358">
        <f t="shared" ca="1" si="13"/>
        <v>9.8500000000000014</v>
      </c>
    </row>
    <row r="7" spans="1:37" ht="24" customHeight="1">
      <c r="A7" s="330" t="s">
        <v>152</v>
      </c>
      <c r="B7" s="359" t="s">
        <v>18</v>
      </c>
      <c r="C7" s="360" t="str">
        <f>IF(B7&lt;&gt;0,INDEX(Perf.Sprint!$C$4:$C$41,MATCH(B7,Perf.Sprint!$B$4:$B$41,0)),"")</f>
        <v>M</v>
      </c>
      <c r="D7" s="361">
        <f t="array" ref="D7">IF(B7&lt;&gt;0,INDEX(Perf.Sprint!$AM$4:$AM$40,MATCH(B7,Perf.Sprint!$B$4:$B$40,0)),"")</f>
        <v>21.24</v>
      </c>
      <c r="E7" s="343" t="s">
        <v>149</v>
      </c>
      <c r="F7" s="362" t="s">
        <v>247</v>
      </c>
      <c r="G7" s="360" t="str">
        <f>IF(F7&lt;&gt;0,INDEX(Perf.Sprint!$C$4:$C$41,MATCH(F7,Perf.Sprint!$B$4:$B$41,0)),"")</f>
        <v>M</v>
      </c>
      <c r="H7" s="361">
        <f t="array" ref="H7">IF(F7&lt;&gt;0,INDEX(Perf.Sprint!$AM$4:$AM$40,MATCH(F7,Perf.Sprint!$B$4:$B$40,0)),"")</f>
        <v>18.72</v>
      </c>
      <c r="I7" s="345">
        <f>IF(B7&lt;&gt;0,INDEX(Perf.Sprint!$BJ$4:$BJ$40,MATCH(B7,Perf.Sprint!$B$4:$B$40,0)),"")</f>
        <v>5.8</v>
      </c>
      <c r="J7" s="345">
        <f>IF(F7&lt;&gt;0,INDEX(Perf.Sprint!$BG$4:$BG$40,MATCH(F7,Perf.Sprint!$B$4:$B$40,0)),"")</f>
        <v>4.1000000000000005</v>
      </c>
      <c r="K7" s="363">
        <f t="shared" si="0"/>
        <v>9.9</v>
      </c>
      <c r="L7" s="364">
        <f t="shared" si="1"/>
        <v>6.1</v>
      </c>
      <c r="M7" s="361">
        <f t="shared" si="2"/>
        <v>21.96</v>
      </c>
      <c r="N7" s="345">
        <f>IF(F7&lt;&gt;0,INDEX(Perf.Sprint!$BJ$4:$BJ$40,MATCH(F7,Perf.Sprint!$B$4:$B$40,0)),"")</f>
        <v>6.6</v>
      </c>
      <c r="O7" s="345">
        <f>IF(B7&lt;&gt;0,INDEX(Perf.Sprint!$BG$4:$BG$40,MATCH(B7,Perf.Sprint!$B$4:$B$40,0)),"")</f>
        <v>3.5</v>
      </c>
      <c r="P7" s="363">
        <f t="shared" si="3"/>
        <v>10.1</v>
      </c>
      <c r="Q7" s="364">
        <f t="shared" si="4"/>
        <v>5.9</v>
      </c>
      <c r="R7" s="365">
        <f t="shared" si="5"/>
        <v>21.24</v>
      </c>
      <c r="S7" s="349">
        <f t="shared" si="6"/>
        <v>21.6</v>
      </c>
      <c r="T7" s="350">
        <f t="shared" si="7"/>
        <v>10</v>
      </c>
      <c r="U7" s="351">
        <v>4</v>
      </c>
      <c r="V7" s="352" t="str">
        <f t="array" aca="1" ref="V7" ca="1">IFERROR(IF(ROWS($4:7)&lt;=COUNTA($A$4:$A$29),INDEX($A$4:$A$29,SMALL(IF($A$4:$A$29&lt;&gt;"",ROW(INDIRECT("1:"&amp;ROWS($A$4:$A$29)))),ROWS($4:7))),""),"")</f>
        <v>D</v>
      </c>
      <c r="W7" s="352">
        <f t="shared" ca="1" si="14"/>
        <v>21.6</v>
      </c>
      <c r="X7" s="352">
        <f t="shared" ca="1" si="15"/>
        <v>21.607000000000003</v>
      </c>
      <c r="Y7" s="351">
        <f ca="1">IFERROR(RANK($X7,$X$4:$X$29,0)+COUNTIF(X$4:X7,X7)-1,"")</f>
        <v>4</v>
      </c>
      <c r="Z7" s="330"/>
      <c r="AA7" s="353" t="str">
        <f>IF(Liste!B6&lt;&gt;"",Liste!B6,"")</f>
        <v>D</v>
      </c>
      <c r="AB7" s="354">
        <f t="shared" si="8"/>
        <v>1</v>
      </c>
      <c r="AC7" s="330"/>
      <c r="AD7" s="366">
        <f t="shared" ca="1" si="9"/>
        <v>4</v>
      </c>
      <c r="AE7" s="366" t="str">
        <f t="shared" ca="1" si="16"/>
        <v>D</v>
      </c>
      <c r="AF7" s="367" t="str">
        <f t="shared" ca="1" si="10"/>
        <v>G</v>
      </c>
      <c r="AG7" s="367" t="str">
        <f t="array" aca="1" ref="AG7" ca="1">IF(AF7&lt;&gt;"",INDEX(Perf.Sprint!$C$4:$C$41,MATCH(AF7,Perf.Sprint!$B$4:$B$41,0)),"")</f>
        <v>M</v>
      </c>
      <c r="AH7" s="367" t="str">
        <f t="shared" ca="1" si="11"/>
        <v xml:space="preserve">J </v>
      </c>
      <c r="AI7" s="367" t="str">
        <f t="array" aca="1" ref="AI7" ca="1">IF(AH7&lt;&gt;"",INDEX(Perf.Sprint!$C$4:$C$41,MATCH(AH7,Perf.Sprint!$B$4:$B$41,0)),"")</f>
        <v>M</v>
      </c>
      <c r="AJ7" s="368">
        <f t="shared" ca="1" si="12"/>
        <v>21.6</v>
      </c>
      <c r="AK7" s="369">
        <f t="shared" ca="1" si="13"/>
        <v>10</v>
      </c>
    </row>
    <row r="8" spans="1:37" ht="24" customHeight="1">
      <c r="A8" s="330" t="s">
        <v>153</v>
      </c>
      <c r="B8" s="340" t="s">
        <v>227</v>
      </c>
      <c r="C8" s="341" t="str">
        <f>IF(B8&lt;&gt;0,INDEX(Perf.Sprint!$C$4:$C$41,MATCH(B8,Perf.Sprint!$B$4:$B$41,0)),"")</f>
        <v>F</v>
      </c>
      <c r="D8" s="342">
        <f t="array" ref="D8">IF(B8&lt;&gt;0,INDEX(Perf.Sprint!$AM$4:$AM$40,MATCH(B8,Perf.Sprint!$B$4:$B$40,0)),"")</f>
        <v>17.28</v>
      </c>
      <c r="E8" s="343" t="s">
        <v>149</v>
      </c>
      <c r="F8" s="344" t="s">
        <v>150</v>
      </c>
      <c r="G8" s="341" t="str">
        <f>IF(F8&lt;&gt;0,INDEX(Perf.Sprint!$C$4:$C$41,MATCH(F8,Perf.Sprint!$B$4:$B$41,0)),"")</f>
        <v>M</v>
      </c>
      <c r="H8" s="342">
        <f t="array" ref="H8">IF(F8&lt;&gt;0,INDEX(Perf.Sprint!$AM$4:$AM$40,MATCH(F8,Perf.Sprint!$B$4:$B$40,0)),"")</f>
        <v>19.440000000000001</v>
      </c>
      <c r="I8" s="345">
        <f>IF(B8&lt;&gt;0,INDEX(Perf.Sprint!$BJ$4:$BJ$40,MATCH(B8,Perf.Sprint!$B$4:$B$40,0)),"")</f>
        <v>7.3000000000000007</v>
      </c>
      <c r="J8" s="345">
        <f>IF(F8&lt;&gt;0,INDEX(Perf.Sprint!$BG$4:$BG$40,MATCH(F8,Perf.Sprint!$B$4:$B$40,0)),"")</f>
        <v>4.3999999999999995</v>
      </c>
      <c r="K8" s="346">
        <f t="shared" si="0"/>
        <v>11.7</v>
      </c>
      <c r="L8" s="347">
        <f t="shared" si="1"/>
        <v>5.0999999999999996</v>
      </c>
      <c r="M8" s="342">
        <f t="shared" si="2"/>
        <v>18.36</v>
      </c>
      <c r="N8" s="345">
        <f>IF(F8&lt;&gt;0,INDEX(Perf.Sprint!$BJ$4:$BJ$40,MATCH(F8,Perf.Sprint!$B$4:$B$40,0)),"")</f>
        <v>6.6</v>
      </c>
      <c r="O8" s="345">
        <f>IF(B8&lt;&gt;0,INDEX(Perf.Sprint!$BG$4:$BG$40,MATCH(B8,Perf.Sprint!$B$4:$B$40,0)),"")</f>
        <v>4.7000000000000011</v>
      </c>
      <c r="P8" s="346">
        <f t="shared" si="3"/>
        <v>11.3</v>
      </c>
      <c r="Q8" s="347">
        <f t="shared" si="4"/>
        <v>5.3</v>
      </c>
      <c r="R8" s="348">
        <f t="shared" si="5"/>
        <v>19.079999999999998</v>
      </c>
      <c r="S8" s="349">
        <f t="shared" si="6"/>
        <v>18.72</v>
      </c>
      <c r="T8" s="350">
        <f t="shared" si="7"/>
        <v>11.5</v>
      </c>
      <c r="U8" s="351">
        <v>5</v>
      </c>
      <c r="V8" s="352" t="str">
        <f t="array" aca="1" ref="V8" ca="1">IFERROR(IF(ROWS($4:8)&lt;=COUNTA($A$4:$A$29),INDEX($A$4:$A$29,SMALL(IF($A$4:$A$29&lt;&gt;"",ROW(INDIRECT("1:"&amp;ROWS($A$4:$A$29)))),ROWS($4:8))),""),"")</f>
        <v>E</v>
      </c>
      <c r="W8" s="352">
        <f t="shared" ca="1" si="14"/>
        <v>18.72</v>
      </c>
      <c r="X8" s="352">
        <f t="shared" ca="1" si="15"/>
        <v>18.727999999999998</v>
      </c>
      <c r="Y8" s="351">
        <f ca="1">IFERROR(RANK($X8,$X$4:$X$29,0)+COUNTIF(X$4:X8,X8)-1,"")</f>
        <v>9</v>
      </c>
      <c r="Z8" s="350"/>
      <c r="AA8" s="353" t="str">
        <f>IF(Liste!B7&lt;&gt;"",Liste!B7,"")</f>
        <v>E</v>
      </c>
      <c r="AB8" s="354">
        <f t="shared" si="8"/>
        <v>1</v>
      </c>
      <c r="AC8" s="350"/>
      <c r="AD8" s="355">
        <f t="shared" ca="1" si="9"/>
        <v>5</v>
      </c>
      <c r="AE8" s="355" t="str">
        <f t="shared" ca="1" si="16"/>
        <v>H</v>
      </c>
      <c r="AF8" s="356" t="str">
        <f t="shared" ca="1" si="10"/>
        <v>H</v>
      </c>
      <c r="AG8" s="356" t="str">
        <f t="array" aca="1" ref="AG8" ca="1">IF(AF8&lt;&gt;"",INDEX(Perf.Sprint!$C$4:$C$41,MATCH(AF8,Perf.Sprint!$B$4:$B$41,0)),"")</f>
        <v>F</v>
      </c>
      <c r="AH8" s="356" t="str">
        <f t="shared" ca="1" si="11"/>
        <v>Q</v>
      </c>
      <c r="AI8" s="356" t="str">
        <f t="array" aca="1" ref="AI8" ca="1">IF(AH8&lt;&gt;"",INDEX(Perf.Sprint!$C$4:$C$41,MATCH(AH8,Perf.Sprint!$B$4:$B$41,0)),"")</f>
        <v>F</v>
      </c>
      <c r="AJ8" s="357">
        <f t="shared" ca="1" si="12"/>
        <v>21.24</v>
      </c>
      <c r="AK8" s="358">
        <f t="shared" ca="1" si="13"/>
        <v>10.25</v>
      </c>
    </row>
    <row r="9" spans="1:37" ht="24" customHeight="1">
      <c r="A9" s="330" t="s">
        <v>8</v>
      </c>
      <c r="B9" s="359" t="s">
        <v>157</v>
      </c>
      <c r="C9" s="360" t="str">
        <f>IF(B9&lt;&gt;0,INDEX(Perf.Sprint!$C$4:$C$41,MATCH(B9,Perf.Sprint!$B$4:$B$41,0)),"")</f>
        <v>M</v>
      </c>
      <c r="D9" s="361">
        <f t="array" ref="D9">IF(B9&lt;&gt;0,INDEX(Perf.Sprint!$AM$4:$AM$40,MATCH(B9,Perf.Sprint!$B$4:$B$40,0)),"")</f>
        <v>22.68</v>
      </c>
      <c r="E9" s="343" t="s">
        <v>149</v>
      </c>
      <c r="F9" s="362" t="s">
        <v>248</v>
      </c>
      <c r="G9" s="360" t="str">
        <f>IF(F9&lt;&gt;0,INDEX(Perf.Sprint!$C$4:$C$41,MATCH(F9,Perf.Sprint!$B$4:$B$41,0)),"")</f>
        <v>F</v>
      </c>
      <c r="H9" s="361">
        <f t="array" ref="H9">IF(F9&lt;&gt;0,INDEX(Perf.Sprint!$AM$4:$AM$40,MATCH(F9,Perf.Sprint!$B$4:$B$40,0)),"")</f>
        <v>19.079999999999998</v>
      </c>
      <c r="I9" s="345">
        <f>IF(B9&lt;&gt;0,INDEX(Perf.Sprint!$BJ$4:$BJ$40,MATCH(B9,Perf.Sprint!$B$4:$B$40,0)),"")</f>
        <v>5.4499999999999993</v>
      </c>
      <c r="J9" s="345">
        <f>IF(F9&lt;&gt;0,INDEX(Perf.Sprint!$BG$4:$BG$40,MATCH(F9,Perf.Sprint!$B$4:$B$40,0)),"")</f>
        <v>3.9</v>
      </c>
      <c r="K9" s="363">
        <f t="shared" si="0"/>
        <v>9.35</v>
      </c>
      <c r="L9" s="364">
        <f t="shared" si="1"/>
        <v>6.4</v>
      </c>
      <c r="M9" s="361">
        <f t="shared" si="2"/>
        <v>23.04</v>
      </c>
      <c r="N9" s="345">
        <f>IF(F9&lt;&gt;0,INDEX(Perf.Sprint!$BJ$4:$BJ$40,MATCH(F9,Perf.Sprint!$B$4:$B$40,0)),"")</f>
        <v>6.5</v>
      </c>
      <c r="O9" s="345">
        <f>IF(B9&lt;&gt;0,INDEX(Perf.Sprint!$BG$4:$BG$40,MATCH(B9,Perf.Sprint!$B$4:$B$40,0)),"")</f>
        <v>3.1999999999999997</v>
      </c>
      <c r="P9" s="363">
        <f t="shared" si="3"/>
        <v>9.6999999999999993</v>
      </c>
      <c r="Q9" s="364">
        <f t="shared" si="4"/>
        <v>6.2</v>
      </c>
      <c r="R9" s="365">
        <f t="shared" si="5"/>
        <v>22.32</v>
      </c>
      <c r="S9" s="349">
        <f t="shared" si="6"/>
        <v>22.68</v>
      </c>
      <c r="T9" s="350">
        <f t="shared" si="7"/>
        <v>9.5249999999999986</v>
      </c>
      <c r="U9" s="351">
        <v>6</v>
      </c>
      <c r="V9" s="352" t="str">
        <f t="array" aca="1" ref="V9" ca="1">IFERROR(IF(ROWS($4:9)&lt;=COUNTA($A$4:$A$29),INDEX($A$4:$A$29,SMALL(IF($A$4:$A$29&lt;&gt;"",ROW(INDIRECT("1:"&amp;ROWS($A$4:$A$29)))),ROWS($4:9))),""),"")</f>
        <v>F</v>
      </c>
      <c r="W9" s="352">
        <f t="shared" ca="1" si="14"/>
        <v>22.68</v>
      </c>
      <c r="X9" s="352">
        <f t="shared" ca="1" si="15"/>
        <v>22.689</v>
      </c>
      <c r="Y9" s="351">
        <f ca="1">IFERROR(RANK($X9,$X$4:$X$29,0)+COUNTIF(X$4:X9,X9)-1,"")</f>
        <v>2</v>
      </c>
      <c r="Z9" s="350"/>
      <c r="AA9" s="353" t="str">
        <f>IF(Liste!B8&lt;&gt;"",Liste!B8,"")</f>
        <v>F</v>
      </c>
      <c r="AB9" s="354">
        <f t="shared" si="8"/>
        <v>5</v>
      </c>
      <c r="AC9" s="350"/>
      <c r="AD9" s="366">
        <f t="shared" ca="1" si="9"/>
        <v>6</v>
      </c>
      <c r="AE9" s="366" t="str">
        <f t="shared" ca="1" si="16"/>
        <v>J</v>
      </c>
      <c r="AF9" s="367" t="str">
        <f t="shared" ca="1" si="10"/>
        <v>X</v>
      </c>
      <c r="AG9" s="367" t="str">
        <f t="array" aca="1" ref="AG9" ca="1">IF(AF9&lt;&gt;"",INDEX(Perf.Sprint!$C$4:$C$41,MATCH(AF9,Perf.Sprint!$B$4:$B$41,0)),"")</f>
        <v>M</v>
      </c>
      <c r="AH9" s="367" t="str">
        <f t="shared" ca="1" si="11"/>
        <v>Y</v>
      </c>
      <c r="AI9" s="367" t="str">
        <f t="array" aca="1" ref="AI9" ca="1">IF(AH9&lt;&gt;"",INDEX(Perf.Sprint!$C$4:$C$41,MATCH(AH9,Perf.Sprint!$B$4:$B$41,0)),"")</f>
        <v>F</v>
      </c>
      <c r="AJ9" s="368">
        <f t="shared" ca="1" si="12"/>
        <v>21.06</v>
      </c>
      <c r="AK9" s="369">
        <f t="shared" ca="1" si="13"/>
        <v>10.274999999999999</v>
      </c>
    </row>
    <row r="10" spans="1:37" ht="24" customHeight="1">
      <c r="A10" s="330" t="s">
        <v>18</v>
      </c>
      <c r="B10" s="340" t="s">
        <v>159</v>
      </c>
      <c r="C10" s="341" t="str">
        <f>IF(B10&lt;&gt;0,INDEX(Perf.Sprint!$C$4:$C$41,MATCH(B10,Perf.Sprint!$B$4:$B$41,0)),"")</f>
        <v>M</v>
      </c>
      <c r="D10" s="342">
        <f t="array" ref="D10">IF(B10&lt;&gt;0,INDEX(Perf.Sprint!$AM$4:$AM$40,MATCH(B10,Perf.Sprint!$B$4:$B$40,0)),"")</f>
        <v>21.96</v>
      </c>
      <c r="E10" s="343" t="s">
        <v>149</v>
      </c>
      <c r="F10" s="344" t="s">
        <v>160</v>
      </c>
      <c r="G10" s="341" t="str">
        <f>IF(F10&lt;&gt;0,INDEX(Perf.Sprint!$C$4:$C$41,MATCH(F10,Perf.Sprint!$B$4:$B$41,0)),"")</f>
        <v>F</v>
      </c>
      <c r="H10" s="342">
        <f t="array" ref="H10">IF(F10&lt;&gt;0,INDEX(Perf.Sprint!$AM$4:$AM$40,MATCH(F10,Perf.Sprint!$B$4:$B$40,0)),"")</f>
        <v>18.36</v>
      </c>
      <c r="I10" s="345">
        <f>IF(B10&lt;&gt;0,INDEX(Perf.Sprint!$BJ$4:$BJ$40,MATCH(B10,Perf.Sprint!$B$4:$B$40,0)),"")</f>
        <v>5.5500000000000007</v>
      </c>
      <c r="J10" s="345">
        <f>IF(F10&lt;&gt;0,INDEX(Perf.Sprint!$BG$4:$BG$40,MATCH(F10,Perf.Sprint!$B$4:$B$40,0)),"")</f>
        <v>4.0999999999999996</v>
      </c>
      <c r="K10" s="346">
        <f t="shared" si="0"/>
        <v>9.65</v>
      </c>
      <c r="L10" s="347">
        <f t="shared" si="1"/>
        <v>6.2</v>
      </c>
      <c r="M10" s="342">
        <f t="shared" si="2"/>
        <v>22.32</v>
      </c>
      <c r="N10" s="345">
        <f>IF(F10&lt;&gt;0,INDEX(Perf.Sprint!$BJ$4:$BJ$40,MATCH(F10,Perf.Sprint!$B$4:$B$40,0)),"")</f>
        <v>6.75</v>
      </c>
      <c r="O10" s="345">
        <f>IF(B10&lt;&gt;0,INDEX(Perf.Sprint!$BG$4:$BG$40,MATCH(B10,Perf.Sprint!$B$4:$B$40,0)),"")</f>
        <v>3.3000000000000003</v>
      </c>
      <c r="P10" s="346">
        <f t="shared" si="3"/>
        <v>10.050000000000001</v>
      </c>
      <c r="Q10" s="347">
        <f t="shared" si="4"/>
        <v>6</v>
      </c>
      <c r="R10" s="348">
        <f t="shared" si="5"/>
        <v>21.6</v>
      </c>
      <c r="S10" s="349">
        <f t="shared" si="6"/>
        <v>21.96</v>
      </c>
      <c r="T10" s="350">
        <f t="shared" si="7"/>
        <v>9.8500000000000014</v>
      </c>
      <c r="U10" s="351">
        <v>7</v>
      </c>
      <c r="V10" s="352" t="str">
        <f t="array" aca="1" ref="V10" ca="1">IFERROR(IF(ROWS($4:10)&lt;=COUNTA($A$4:$A$29),INDEX($A$4:$A$29,SMALL(IF($A$4:$A$29&lt;&gt;"",ROW(INDIRECT("1:"&amp;ROWS($A$4:$A$29)))),ROWS($4:10))),""),"")</f>
        <v>G</v>
      </c>
      <c r="W10" s="352">
        <f t="shared" ca="1" si="14"/>
        <v>21.96</v>
      </c>
      <c r="X10" s="352">
        <f t="shared" ca="1" si="15"/>
        <v>21.970000000000002</v>
      </c>
      <c r="Y10" s="351">
        <f ca="1">IFERROR(RANK($X10,$X$4:$X$29,0)+COUNTIF(X$4:X10,X10)-1,"")</f>
        <v>3</v>
      </c>
      <c r="Z10" s="330"/>
      <c r="AA10" s="353" t="str">
        <f>IF(Liste!B9&lt;&gt;"",Liste!B9,"")</f>
        <v>G</v>
      </c>
      <c r="AB10" s="354">
        <f t="shared" si="8"/>
        <v>1</v>
      </c>
      <c r="AC10" s="330"/>
      <c r="AD10" s="355">
        <f t="shared" ca="1" si="9"/>
        <v>7</v>
      </c>
      <c r="AE10" s="355" t="str">
        <f t="shared" ca="1" si="16"/>
        <v>I</v>
      </c>
      <c r="AF10" s="356" t="str">
        <f t="shared" ca="1" si="10"/>
        <v>R</v>
      </c>
      <c r="AG10" s="356" t="str">
        <f t="array" aca="1" ref="AG10" ca="1">IF(AF10&lt;&gt;"",INDEX(Perf.Sprint!$C$4:$C$41,MATCH(AF10,Perf.Sprint!$B$4:$B$41,0)),"")</f>
        <v>F</v>
      </c>
      <c r="AH10" s="356" t="str">
        <f t="shared" ca="1" si="11"/>
        <v>T</v>
      </c>
      <c r="AI10" s="356" t="str">
        <f t="array" aca="1" ref="AI10" ca="1">IF(AH10&lt;&gt;"",INDEX(Perf.Sprint!$C$4:$C$41,MATCH(AH10,Perf.Sprint!$B$4:$B$41,0)),"")</f>
        <v>F</v>
      </c>
      <c r="AJ10" s="357">
        <f t="shared" ca="1" si="12"/>
        <v>19.62</v>
      </c>
      <c r="AK10" s="358">
        <f t="shared" ca="1" si="13"/>
        <v>10.950000000000001</v>
      </c>
    </row>
    <row r="11" spans="1:37" ht="24" customHeight="1">
      <c r="A11" s="330" t="s">
        <v>154</v>
      </c>
      <c r="B11" s="359" t="s">
        <v>154</v>
      </c>
      <c r="C11" s="360" t="str">
        <f>IF(B11&lt;&gt;0,INDEX(Perf.Sprint!$C$4:$C$41,MATCH(B11,Perf.Sprint!$B$4:$B$41,0)),"")</f>
        <v>F</v>
      </c>
      <c r="D11" s="361">
        <f t="array" ref="D11">IF(B11&lt;&gt;0,INDEX(Perf.Sprint!$AM$4:$AM$40,MATCH(B11,Perf.Sprint!$B$4:$B$40,0)),"")</f>
        <v>19.079999999999998</v>
      </c>
      <c r="E11" s="343" t="s">
        <v>149</v>
      </c>
      <c r="F11" s="362" t="s">
        <v>162</v>
      </c>
      <c r="G11" s="360" t="str">
        <f>IF(F11&lt;&gt;0,INDEX(Perf.Sprint!$C$4:$C$41,MATCH(F11,Perf.Sprint!$B$4:$B$41,0)),"")</f>
        <v>F</v>
      </c>
      <c r="H11" s="361">
        <f t="array" ref="H11">IF(F11&lt;&gt;0,INDEX(Perf.Sprint!$AM$4:$AM$40,MATCH(F11,Perf.Sprint!$B$4:$B$40,0)),"")</f>
        <v>20.16</v>
      </c>
      <c r="I11" s="345">
        <f>IF(B11&lt;&gt;0,INDEX(Perf.Sprint!$BJ$4:$BJ$40,MATCH(B11,Perf.Sprint!$B$4:$B$40,0)),"")</f>
        <v>6.5500000000000007</v>
      </c>
      <c r="J11" s="345">
        <f>IF(F11&lt;&gt;0,INDEX(Perf.Sprint!$BG$4:$BG$40,MATCH(F11,Perf.Sprint!$B$4:$B$40,0)),"")</f>
        <v>3.7</v>
      </c>
      <c r="K11" s="363">
        <f t="shared" si="0"/>
        <v>10.25</v>
      </c>
      <c r="L11" s="364">
        <f t="shared" si="1"/>
        <v>5.9</v>
      </c>
      <c r="M11" s="361">
        <f t="shared" si="2"/>
        <v>21.24</v>
      </c>
      <c r="N11" s="345">
        <f>IF(F11&lt;&gt;0,INDEX(Perf.Sprint!$BJ$4:$BJ$40,MATCH(F11,Perf.Sprint!$B$4:$B$40,0)),"")</f>
        <v>6.15</v>
      </c>
      <c r="O11" s="345">
        <f>IF(B11&lt;&gt;0,INDEX(Perf.Sprint!$BG$4:$BG$40,MATCH(B11,Perf.Sprint!$B$4:$B$40,0)),"")</f>
        <v>4.1000000000000005</v>
      </c>
      <c r="P11" s="363">
        <f t="shared" si="3"/>
        <v>10.25</v>
      </c>
      <c r="Q11" s="364">
        <f t="shared" si="4"/>
        <v>5.9</v>
      </c>
      <c r="R11" s="365">
        <f t="shared" si="5"/>
        <v>21.24</v>
      </c>
      <c r="S11" s="349">
        <f t="shared" si="6"/>
        <v>21.24</v>
      </c>
      <c r="T11" s="350">
        <f t="shared" si="7"/>
        <v>10.25</v>
      </c>
      <c r="U11" s="351">
        <v>8</v>
      </c>
      <c r="V11" s="352" t="str">
        <f t="array" aca="1" ref="V11" ca="1">IFERROR(IF(ROWS($4:11)&lt;=COUNTA($A$4:$A$29),INDEX($A$4:$A$29,SMALL(IF($A$4:$A$29&lt;&gt;"",ROW(INDIRECT("1:"&amp;ROWS($A$4:$A$29)))),ROWS($4:11))),""),"")</f>
        <v>H</v>
      </c>
      <c r="W11" s="352">
        <f t="shared" ca="1" si="14"/>
        <v>21.24</v>
      </c>
      <c r="X11" s="352">
        <f t="shared" ca="1" si="15"/>
        <v>21.250999999999998</v>
      </c>
      <c r="Y11" s="351">
        <f ca="1">IFERROR(RANK($X11,$X$4:$X$29,0)+COUNTIF(X$4:X11,X11)-1,"")</f>
        <v>5</v>
      </c>
      <c r="Z11" s="350"/>
      <c r="AA11" s="353" t="str">
        <f>IF(Liste!B10&lt;&gt;"",Liste!B10,"")</f>
        <v>H</v>
      </c>
      <c r="AB11" s="354">
        <f t="shared" si="8"/>
        <v>1</v>
      </c>
      <c r="AC11" s="350"/>
      <c r="AD11" s="366">
        <f t="shared" ca="1" si="9"/>
        <v>8</v>
      </c>
      <c r="AE11" s="366" t="str">
        <f t="shared" ca="1" si="16"/>
        <v>C</v>
      </c>
      <c r="AF11" s="367" t="str">
        <f t="shared" ca="1" si="10"/>
        <v>E</v>
      </c>
      <c r="AG11" s="367" t="str">
        <f t="array" aca="1" ref="AG11" ca="1">IF(AF11&lt;&gt;"",INDEX(Perf.Sprint!$C$4:$C$41,MATCH(AF11,Perf.Sprint!$B$4:$B$41,0)),"")</f>
        <v>M</v>
      </c>
      <c r="AH11" s="367" t="str">
        <f t="shared" ca="1" si="11"/>
        <v>F</v>
      </c>
      <c r="AI11" s="367" t="str">
        <f t="array" aca="1" ref="AI11" ca="1">IF(AH11&lt;&gt;"",INDEX(Perf.Sprint!$C$4:$C$41,MATCH(AH11,Perf.Sprint!$B$4:$B$41,0)),"")</f>
        <v>F</v>
      </c>
      <c r="AJ11" s="368">
        <f t="shared" ca="1" si="12"/>
        <v>19.259999999999998</v>
      </c>
      <c r="AK11" s="369">
        <f t="shared" ca="1" si="13"/>
        <v>11.175000000000001</v>
      </c>
    </row>
    <row r="12" spans="1:37" ht="24" customHeight="1">
      <c r="A12" s="330" t="s">
        <v>155</v>
      </c>
      <c r="B12" s="340" t="s">
        <v>163</v>
      </c>
      <c r="C12" s="341" t="str">
        <f>IF(B12&lt;&gt;0,INDEX(Perf.Sprint!$C$4:$C$41,MATCH(B12,Perf.Sprint!$B$4:$B$41,0)),"")</f>
        <v>F</v>
      </c>
      <c r="D12" s="342">
        <f t="array" ref="D12">IF(B12&lt;&gt;0,INDEX(Perf.Sprint!$AM$4:$AM$40,MATCH(B12,Perf.Sprint!$B$4:$B$40,0)),"")</f>
        <v>20.16</v>
      </c>
      <c r="E12" s="343" t="s">
        <v>149</v>
      </c>
      <c r="F12" s="344" t="s">
        <v>165</v>
      </c>
      <c r="G12" s="341" t="str">
        <f>IF(F12&lt;&gt;0,INDEX(Perf.Sprint!$C$4:$C$41,MATCH(F12,Perf.Sprint!$B$4:$B$41,0)),"")</f>
        <v>F</v>
      </c>
      <c r="H12" s="342">
        <f t="array" ref="H12">IF(F12&lt;&gt;0,INDEX(Perf.Sprint!$AM$4:$AM$40,MATCH(F12,Perf.Sprint!$B$4:$B$40,0)),"")</f>
        <v>16.920000000000002</v>
      </c>
      <c r="I12" s="345">
        <f>IF(B12&lt;&gt;0,INDEX(Perf.Sprint!$BJ$4:$BJ$40,MATCH(B12,Perf.Sprint!$B$4:$B$40,0)),"")</f>
        <v>6.15</v>
      </c>
      <c r="J12" s="345">
        <f>IF(F12&lt;&gt;0,INDEX(Perf.Sprint!$BG$4:$BG$40,MATCH(F12,Perf.Sprint!$B$4:$B$40,0)),"")</f>
        <v>4.7000000000000011</v>
      </c>
      <c r="K12" s="346">
        <f t="shared" si="0"/>
        <v>10.850000000000001</v>
      </c>
      <c r="L12" s="347">
        <f t="shared" si="1"/>
        <v>5.5</v>
      </c>
      <c r="M12" s="342">
        <f t="shared" si="2"/>
        <v>19.8</v>
      </c>
      <c r="N12" s="345">
        <f>IF(F12&lt;&gt;0,INDEX(Perf.Sprint!$BJ$4:$BJ$40,MATCH(F12,Perf.Sprint!$B$4:$B$40,0)),"")</f>
        <v>7.3500000000000005</v>
      </c>
      <c r="O12" s="345">
        <f>IF(B12&lt;&gt;0,INDEX(Perf.Sprint!$BG$4:$BG$40,MATCH(B12,Perf.Sprint!$B$4:$B$40,0)),"")</f>
        <v>3.7</v>
      </c>
      <c r="P12" s="346">
        <f t="shared" si="3"/>
        <v>11.05</v>
      </c>
      <c r="Q12" s="347">
        <f t="shared" si="4"/>
        <v>5.4</v>
      </c>
      <c r="R12" s="348">
        <f t="shared" si="5"/>
        <v>19.440000000000001</v>
      </c>
      <c r="S12" s="349">
        <f t="shared" si="6"/>
        <v>19.62</v>
      </c>
      <c r="T12" s="350">
        <f t="shared" si="7"/>
        <v>10.950000000000001</v>
      </c>
      <c r="U12" s="351">
        <v>9</v>
      </c>
      <c r="V12" s="352" t="str">
        <f t="array" aca="1" ref="V12" ca="1">IFERROR(IF(ROWS($4:12)&lt;=COUNTA($A$4:$A$29),INDEX($A$4:$A$29,SMALL(IF($A$4:$A$29&lt;&gt;"",ROW(INDIRECT("1:"&amp;ROWS($A$4:$A$29)))),ROWS($4:12))),""),"")</f>
        <v>I</v>
      </c>
      <c r="W12" s="352">
        <f t="shared" ca="1" si="14"/>
        <v>19.62</v>
      </c>
      <c r="X12" s="352">
        <f t="shared" ca="1" si="15"/>
        <v>19.632000000000001</v>
      </c>
      <c r="Y12" s="351">
        <f ca="1">IFERROR(RANK($X12,$X$4:$X$29,0)+COUNTIF(X$4:X12,X12)-1,"")</f>
        <v>7</v>
      </c>
      <c r="Z12" s="350"/>
      <c r="AA12" s="353" t="str">
        <f>IF(Liste!B11&lt;&gt;"",Liste!B11,"")</f>
        <v>I</v>
      </c>
      <c r="AB12" s="354">
        <f t="shared" si="8"/>
        <v>1</v>
      </c>
      <c r="AC12" s="350"/>
      <c r="AD12" s="355">
        <f t="shared" ca="1" si="9"/>
        <v>9</v>
      </c>
      <c r="AE12" s="355" t="str">
        <f t="shared" ca="1" si="16"/>
        <v>E</v>
      </c>
      <c r="AF12" s="356" t="str">
        <f t="shared" ca="1" si="10"/>
        <v>U</v>
      </c>
      <c r="AG12" s="356" t="str">
        <f t="array" aca="1" ref="AG12" ca="1">IF(AF12&lt;&gt;"",INDEX(Perf.Sprint!$C$4:$C$41,MATCH(AF12,Perf.Sprint!$B$4:$B$41,0)),"")</f>
        <v>F</v>
      </c>
      <c r="AH12" s="356" t="str">
        <f t="shared" ca="1" si="11"/>
        <v>B</v>
      </c>
      <c r="AI12" s="356" t="str">
        <f t="array" aca="1" ref="AI12" ca="1">IF(AH12&lt;&gt;"",INDEX(Perf.Sprint!$C$4:$C$41,MATCH(AH12,Perf.Sprint!$B$4:$B$41,0)),"")</f>
        <v>M</v>
      </c>
      <c r="AJ12" s="357">
        <f t="shared" ca="1" si="12"/>
        <v>18.72</v>
      </c>
      <c r="AK12" s="358">
        <f t="shared" ca="1" si="13"/>
        <v>11.5</v>
      </c>
    </row>
    <row r="13" spans="1:37" ht="24" customHeight="1">
      <c r="A13" s="330" t="s">
        <v>156</v>
      </c>
      <c r="B13" s="359" t="s">
        <v>230</v>
      </c>
      <c r="C13" s="360" t="str">
        <f>IF(B13&lt;&gt;0,INDEX(Perf.Sprint!$C$4:$C$41,MATCH(B13,Perf.Sprint!$B$4:$B$41,0)),"")</f>
        <v>M</v>
      </c>
      <c r="D13" s="361">
        <f t="array" ref="D13">IF(B13&lt;&gt;0,INDEX(Perf.Sprint!$AM$4:$AM$40,MATCH(B13,Perf.Sprint!$B$4:$B$40,0)),"")</f>
        <v>20.52</v>
      </c>
      <c r="E13" s="343" t="s">
        <v>149</v>
      </c>
      <c r="F13" s="362" t="s">
        <v>231</v>
      </c>
      <c r="G13" s="360" t="str">
        <f>IF(F13&lt;&gt;0,INDEX(Perf.Sprint!$C$4:$C$41,MATCH(F13,Perf.Sprint!$B$4:$B$41,0)),"")</f>
        <v>F</v>
      </c>
      <c r="H13" s="361">
        <f t="array" ref="H13">IF(F13&lt;&gt;0,INDEX(Perf.Sprint!$AM$4:$AM$40,MATCH(F13,Perf.Sprint!$B$4:$B$40,0)),"")</f>
        <v>18.36</v>
      </c>
      <c r="I13" s="345">
        <f>IF(B13&lt;&gt;0,INDEX(Perf.Sprint!$BJ$4:$BJ$40,MATCH(B13,Perf.Sprint!$B$4:$B$40,0)),"")</f>
        <v>6</v>
      </c>
      <c r="J13" s="345">
        <f>IF(F13&lt;&gt;0,INDEX(Perf.Sprint!$BG$4:$BG$40,MATCH(F13,Perf.Sprint!$B$4:$B$40,0)),"")</f>
        <v>4.1999999999999993</v>
      </c>
      <c r="K13" s="363">
        <f t="shared" si="0"/>
        <v>10.199999999999999</v>
      </c>
      <c r="L13" s="364">
        <f t="shared" si="1"/>
        <v>5.9</v>
      </c>
      <c r="M13" s="361">
        <f t="shared" si="2"/>
        <v>21.24</v>
      </c>
      <c r="N13" s="345">
        <f>IF(F13&lt;&gt;0,INDEX(Perf.Sprint!$BJ$4:$BJ$40,MATCH(F13,Perf.Sprint!$B$4:$B$40,0)),"")</f>
        <v>6.75</v>
      </c>
      <c r="O13" s="345">
        <f>IF(B13&lt;&gt;0,INDEX(Perf.Sprint!$BG$4:$BG$40,MATCH(B13,Perf.Sprint!$B$4:$B$40,0)),"")</f>
        <v>3.6</v>
      </c>
      <c r="P13" s="363">
        <f t="shared" si="3"/>
        <v>10.35</v>
      </c>
      <c r="Q13" s="364">
        <f t="shared" si="4"/>
        <v>5.8</v>
      </c>
      <c r="R13" s="365">
        <f t="shared" si="5"/>
        <v>20.88</v>
      </c>
      <c r="S13" s="349">
        <f t="shared" si="6"/>
        <v>21.06</v>
      </c>
      <c r="T13" s="350">
        <f t="shared" si="7"/>
        <v>10.274999999999999</v>
      </c>
      <c r="U13" s="351">
        <v>10</v>
      </c>
      <c r="V13" s="352" t="str">
        <f t="array" aca="1" ref="V13" ca="1">IFERROR(IF(ROWS($4:13)&lt;=COUNTA($A$4:$A$29),INDEX($A$4:$A$29,SMALL(IF($A$4:$A$29&lt;&gt;"",ROW(INDIRECT("1:"&amp;ROWS($A$4:$A$29)))),ROWS($4:13))),""),"")</f>
        <v>J</v>
      </c>
      <c r="W13" s="352">
        <f t="shared" ca="1" si="14"/>
        <v>21.06</v>
      </c>
      <c r="X13" s="352">
        <f t="shared" ca="1" si="15"/>
        <v>21.073</v>
      </c>
      <c r="Y13" s="351">
        <f ca="1">IFERROR(RANK($X13,$X$4:$X$29,0)+COUNTIF(X$4:X13,X13)-1,"")</f>
        <v>6</v>
      </c>
      <c r="Z13" s="330"/>
      <c r="AA13" s="353" t="str">
        <f>IF(Liste!B12&lt;&gt;"",Liste!B12,"")</f>
        <v xml:space="preserve">J </v>
      </c>
      <c r="AB13" s="354">
        <f t="shared" si="8"/>
        <v>1</v>
      </c>
      <c r="AC13" s="330"/>
      <c r="AD13" s="366" t="str">
        <f t="shared" ca="1" si="9"/>
        <v/>
      </c>
      <c r="AE13" s="366" t="str">
        <f t="shared" ca="1" si="16"/>
        <v/>
      </c>
      <c r="AF13" s="367" t="str">
        <f t="shared" ca="1" si="10"/>
        <v/>
      </c>
      <c r="AG13" s="367" t="str">
        <f t="array" aca="1" ref="AG13" ca="1">IF(AF13&lt;&gt;"",INDEX(Perf.Sprint!$C$4:$C$41,MATCH(AF13,Perf.Sprint!$B$4:$B$41,0)),"")</f>
        <v/>
      </c>
      <c r="AH13" s="367" t="str">
        <f t="shared" ca="1" si="11"/>
        <v/>
      </c>
      <c r="AI13" s="367" t="str">
        <f t="array" aca="1" ref="AI13" ca="1">IF(AH13&lt;&gt;"",INDEX(Perf.Sprint!$C$4:$C$41,MATCH(AH13,Perf.Sprint!$B$4:$B$41,0)),"")</f>
        <v/>
      </c>
      <c r="AJ13" s="368" t="str">
        <f t="shared" ca="1" si="12"/>
        <v/>
      </c>
      <c r="AK13" s="369" t="str">
        <f t="shared" ca="1" si="13"/>
        <v/>
      </c>
    </row>
    <row r="14" spans="1:37" ht="24" customHeight="1">
      <c r="A14" s="330" t="s">
        <v>157</v>
      </c>
      <c r="B14" s="340"/>
      <c r="C14" s="341" t="str">
        <f>IF(B14&lt;&gt;0,INDEX(Perf.Sprint!$C$4:$C$41,MATCH(B14,Perf.Sprint!$B$4:$B$41,0)),"")</f>
        <v/>
      </c>
      <c r="D14" s="342" t="str">
        <f t="array" ref="D14">IF(B14&lt;&gt;0,INDEX(Perf.Sprint!$AM$4:$AM$40,MATCH(B14,Perf.Sprint!$B$4:$B$40,0)),"")</f>
        <v/>
      </c>
      <c r="E14" s="343" t="s">
        <v>149</v>
      </c>
      <c r="F14" s="344"/>
      <c r="G14" s="341" t="str">
        <f>IF(F14&lt;&gt;0,INDEX(Perf.Sprint!$C$4:$C$41,MATCH(F14,Perf.Sprint!$B$4:$B$41,0)),"")</f>
        <v/>
      </c>
      <c r="H14" s="342" t="str">
        <f t="array" ref="H14">IF(F14&lt;&gt;0,INDEX(Perf.Sprint!$AM$4:$AM$40,MATCH(F14,Perf.Sprint!$B$4:$B$40,0)),"")</f>
        <v/>
      </c>
      <c r="I14" s="345" t="str">
        <f>IF(B14&lt;&gt;0,INDEX(Perf.Sprint!$BJ$4:$BJ$40,MATCH(B14,Perf.Sprint!$B$4:$B$40,0)),"")</f>
        <v/>
      </c>
      <c r="J14" s="345" t="str">
        <f>IF(F14&lt;&gt;0,INDEX(Perf.Sprint!$BG$4:$BG$40,MATCH(F14,Perf.Sprint!$B$4:$B$40,0)),"")</f>
        <v/>
      </c>
      <c r="K14" s="346" t="str">
        <f t="shared" si="0"/>
        <v/>
      </c>
      <c r="L14" s="347" t="str">
        <f t="shared" si="1"/>
        <v/>
      </c>
      <c r="M14" s="342" t="str">
        <f t="shared" si="2"/>
        <v/>
      </c>
      <c r="N14" s="345" t="str">
        <f>IF(F14&lt;&gt;0,INDEX(Perf.Sprint!$BJ$4:$BJ$40,MATCH(F14,Perf.Sprint!$B$4:$B$40,0)),"")</f>
        <v/>
      </c>
      <c r="O14" s="345" t="str">
        <f>IF(B14&lt;&gt;0,INDEX(Perf.Sprint!$BG$4:$BG$40,MATCH(B14,Perf.Sprint!$B$4:$B$40,0)),"")</f>
        <v/>
      </c>
      <c r="P14" s="346" t="str">
        <f t="shared" si="3"/>
        <v/>
      </c>
      <c r="Q14" s="347" t="str">
        <f t="shared" si="4"/>
        <v/>
      </c>
      <c r="R14" s="348" t="str">
        <f t="shared" si="5"/>
        <v/>
      </c>
      <c r="S14" s="349" t="str">
        <f t="shared" si="6"/>
        <v/>
      </c>
      <c r="T14" s="350" t="str">
        <f t="shared" si="7"/>
        <v/>
      </c>
      <c r="U14" s="351">
        <v>11</v>
      </c>
      <c r="V14" s="352" t="str">
        <f t="array" aca="1" ref="V14" ca="1">IFERROR(IF(ROWS($4:14)&lt;=COUNTA($A$4:$A$29),INDEX($A$4:$A$29,SMALL(IF($A$4:$A$29&lt;&gt;"",ROW(INDIRECT("1:"&amp;ROWS($A$4:$A$29)))),ROWS($4:14))),""),"")</f>
        <v>K</v>
      </c>
      <c r="W14" s="352" t="str">
        <f t="shared" ca="1" si="14"/>
        <v/>
      </c>
      <c r="X14" s="352" t="str">
        <f t="shared" ca="1" si="15"/>
        <v/>
      </c>
      <c r="Y14" s="351" t="str">
        <f ca="1">IFERROR(RANK($X14,$X$4:$X$29,0)+COUNTIF(X$4:X14,X14)-1,"")</f>
        <v/>
      </c>
      <c r="Z14" s="350"/>
      <c r="AA14" s="353" t="str">
        <f>IF(Liste!B13&lt;&gt;"",Liste!B13,"")</f>
        <v>K</v>
      </c>
      <c r="AB14" s="354">
        <f t="shared" si="8"/>
        <v>1</v>
      </c>
      <c r="AC14" s="350"/>
      <c r="AD14" s="355" t="str">
        <f t="shared" ca="1" si="9"/>
        <v/>
      </c>
      <c r="AE14" s="355" t="str">
        <f t="shared" ca="1" si="16"/>
        <v/>
      </c>
      <c r="AF14" s="356" t="str">
        <f t="shared" ca="1" si="10"/>
        <v/>
      </c>
      <c r="AG14" s="356" t="str">
        <f t="array" aca="1" ref="AG14" ca="1">IF(AF14&lt;&gt;"",INDEX(Perf.Sprint!$C$4:$C$41,MATCH(AF14,Perf.Sprint!$B$4:$B$41,0)),"")</f>
        <v/>
      </c>
      <c r="AH14" s="356" t="str">
        <f t="shared" ca="1" si="11"/>
        <v/>
      </c>
      <c r="AI14" s="356" t="str">
        <f t="array" aca="1" ref="AI14" ca="1">IF(AH14&lt;&gt;"",INDEX(Perf.Sprint!$C$4:$C$41,MATCH(AH14,Perf.Sprint!$B$4:$B$41,0)),"")</f>
        <v/>
      </c>
      <c r="AJ14" s="357" t="str">
        <f t="shared" ca="1" si="12"/>
        <v/>
      </c>
      <c r="AK14" s="358" t="str">
        <f t="shared" ca="1" si="13"/>
        <v/>
      </c>
    </row>
    <row r="15" spans="1:37" ht="24" customHeight="1">
      <c r="A15" s="330" t="s">
        <v>158</v>
      </c>
      <c r="B15" s="359"/>
      <c r="C15" s="360" t="str">
        <f>IF(B15&lt;&gt;0,INDEX(Perf.Sprint!$C$4:$C$41,MATCH(B15,Perf.Sprint!$B$4:$B$41,0)),"")</f>
        <v/>
      </c>
      <c r="D15" s="361" t="str">
        <f t="array" ref="D15">IF(B15&lt;&gt;0,INDEX(Perf.Sprint!$AM$4:$AM$40,MATCH(B15,Perf.Sprint!$B$4:$B$40,0)),"")</f>
        <v/>
      </c>
      <c r="E15" s="343" t="s">
        <v>149</v>
      </c>
      <c r="F15" s="362"/>
      <c r="G15" s="360" t="str">
        <f>IF(F15&lt;&gt;0,INDEX(Perf.Sprint!$C$4:$C$41,MATCH(F15,Perf.Sprint!$B$4:$B$41,0)),"")</f>
        <v/>
      </c>
      <c r="H15" s="361" t="str">
        <f t="array" ref="H15">IF(F15&lt;&gt;0,INDEX(Perf.Sprint!$AM$4:$AM$40,MATCH(F15,Perf.Sprint!$B$4:$B$40,0)),"")</f>
        <v/>
      </c>
      <c r="I15" s="345" t="str">
        <f>IF(B15&lt;&gt;0,INDEX(Perf.Sprint!$BJ$4:$BJ$40,MATCH(B15,Perf.Sprint!$B$4:$B$40,0)),"")</f>
        <v/>
      </c>
      <c r="J15" s="345" t="str">
        <f>IF(F15&lt;&gt;0,INDEX(Perf.Sprint!$BG$4:$BG$40,MATCH(F15,Perf.Sprint!$B$4:$B$40,0)),"")</f>
        <v/>
      </c>
      <c r="K15" s="363" t="str">
        <f t="shared" si="0"/>
        <v/>
      </c>
      <c r="L15" s="364" t="str">
        <f t="shared" si="1"/>
        <v/>
      </c>
      <c r="M15" s="361" t="str">
        <f t="shared" si="2"/>
        <v/>
      </c>
      <c r="N15" s="345" t="str">
        <f>IF(F15&lt;&gt;0,INDEX(Perf.Sprint!$BJ$4:$BJ$40,MATCH(F15,Perf.Sprint!$B$4:$B$40,0)),"")</f>
        <v/>
      </c>
      <c r="O15" s="345" t="str">
        <f>IF(B15&lt;&gt;0,INDEX(Perf.Sprint!$BG$4:$BG$40,MATCH(B15,Perf.Sprint!$B$4:$B$40,0)),"")</f>
        <v/>
      </c>
      <c r="P15" s="363" t="str">
        <f t="shared" si="3"/>
        <v/>
      </c>
      <c r="Q15" s="364" t="str">
        <f t="shared" si="4"/>
        <v/>
      </c>
      <c r="R15" s="365" t="str">
        <f t="shared" si="5"/>
        <v/>
      </c>
      <c r="S15" s="349" t="str">
        <f t="shared" si="6"/>
        <v/>
      </c>
      <c r="T15" s="350" t="str">
        <f t="shared" si="7"/>
        <v/>
      </c>
      <c r="U15" s="351">
        <v>12</v>
      </c>
      <c r="V15" s="352" t="str">
        <f t="array" aca="1" ref="V15" ca="1">IFERROR(IF(ROWS($4:15)&lt;=COUNTA($A$4:$A$29),INDEX($A$4:$A$29,SMALL(IF($A$4:$A$29&lt;&gt;"",ROW(INDIRECT("1:"&amp;ROWS($A$4:$A$29)))),ROWS($4:15))),""),"")</f>
        <v>L</v>
      </c>
      <c r="W15" s="352" t="str">
        <f t="shared" ca="1" si="14"/>
        <v/>
      </c>
      <c r="X15" s="352" t="str">
        <f t="shared" ca="1" si="15"/>
        <v/>
      </c>
      <c r="Y15" s="351" t="str">
        <f ca="1">IFERROR(RANK($X15,$X$4:$X$29,0)+COUNTIF(X$4:X15,X15)-1,"")</f>
        <v/>
      </c>
      <c r="Z15" s="350"/>
      <c r="AA15" s="353" t="str">
        <f>IF(Liste!B14&lt;&gt;"",Liste!B14,"")</f>
        <v>L</v>
      </c>
      <c r="AB15" s="354">
        <f t="shared" si="8"/>
        <v>0</v>
      </c>
      <c r="AC15" s="350"/>
      <c r="AD15" s="366" t="str">
        <f t="shared" ca="1" si="9"/>
        <v/>
      </c>
      <c r="AE15" s="366" t="str">
        <f t="shared" ca="1" si="16"/>
        <v/>
      </c>
      <c r="AF15" s="367" t="str">
        <f t="shared" ca="1" si="10"/>
        <v/>
      </c>
      <c r="AG15" s="367" t="str">
        <f t="array" aca="1" ref="AG15" ca="1">IF(AF15&lt;&gt;"",INDEX(Perf.Sprint!$C$4:$C$41,MATCH(AF15,Perf.Sprint!$B$4:$B$41,0)),"")</f>
        <v/>
      </c>
      <c r="AH15" s="367" t="str">
        <f t="shared" ca="1" si="11"/>
        <v/>
      </c>
      <c r="AI15" s="367" t="str">
        <f t="array" aca="1" ref="AI15" ca="1">IF(AH15&lt;&gt;"",INDEX(Perf.Sprint!$C$4:$C$41,MATCH(AH15,Perf.Sprint!$B$4:$B$41,0)),"")</f>
        <v/>
      </c>
      <c r="AJ15" s="368" t="str">
        <f t="shared" ca="1" si="12"/>
        <v/>
      </c>
      <c r="AK15" s="369" t="str">
        <f t="shared" ca="1" si="13"/>
        <v/>
      </c>
    </row>
    <row r="16" spans="1:37" ht="24" customHeight="1">
      <c r="A16" s="330" t="s">
        <v>10</v>
      </c>
      <c r="B16" s="340"/>
      <c r="C16" s="341" t="str">
        <f>IF(B16&lt;&gt;0,INDEX(Perf.Sprint!$C$4:$C$41,MATCH(B16,Perf.Sprint!$B$4:$B$41,0)),"")</f>
        <v/>
      </c>
      <c r="D16" s="342" t="str">
        <f t="array" ref="D16">IF(B16&lt;&gt;0,INDEX(Perf.Sprint!$AM$4:$AM$40,MATCH(B16,Perf.Sprint!$B$4:$B$40,0)),"")</f>
        <v/>
      </c>
      <c r="E16" s="343" t="s">
        <v>149</v>
      </c>
      <c r="F16" s="344"/>
      <c r="G16" s="341" t="str">
        <f>IF(F16&lt;&gt;0,INDEX(Perf.Sprint!$C$4:$C$41,MATCH(F16,Perf.Sprint!$B$4:$B$41,0)),"")</f>
        <v/>
      </c>
      <c r="H16" s="342" t="str">
        <f t="array" ref="H16">IF(F16&lt;&gt;0,INDEX(Perf.Sprint!$AM$4:$AM$40,MATCH(F16,Perf.Sprint!$B$4:$B$40,0)),"")</f>
        <v/>
      </c>
      <c r="I16" s="345" t="str">
        <f>IF(B16&lt;&gt;0,INDEX(Perf.Sprint!$BJ$4:$BJ$40,MATCH(B16,Perf.Sprint!$B$4:$B$40,0)),"")</f>
        <v/>
      </c>
      <c r="J16" s="345" t="str">
        <f>IF(F16&lt;&gt;0,INDEX(Perf.Sprint!$BG$4:$BG$40,MATCH(F16,Perf.Sprint!$B$4:$B$40,0)),"")</f>
        <v/>
      </c>
      <c r="K16" s="346" t="str">
        <f t="shared" si="0"/>
        <v/>
      </c>
      <c r="L16" s="347" t="str">
        <f t="shared" si="1"/>
        <v/>
      </c>
      <c r="M16" s="342" t="str">
        <f t="shared" si="2"/>
        <v/>
      </c>
      <c r="N16" s="345" t="str">
        <f>IF(F16&lt;&gt;0,INDEX(Perf.Sprint!$BJ$4:$BJ$40,MATCH(F16,Perf.Sprint!$B$4:$B$40,0)),"")</f>
        <v/>
      </c>
      <c r="O16" s="345" t="str">
        <f>IF(B16&lt;&gt;0,INDEX(Perf.Sprint!$BG$4:$BG$40,MATCH(B16,Perf.Sprint!$B$4:$B$40,0)),"")</f>
        <v/>
      </c>
      <c r="P16" s="346" t="str">
        <f t="shared" si="3"/>
        <v/>
      </c>
      <c r="Q16" s="347" t="str">
        <f t="shared" si="4"/>
        <v/>
      </c>
      <c r="R16" s="348" t="str">
        <f t="shared" si="5"/>
        <v/>
      </c>
      <c r="S16" s="349" t="str">
        <f t="shared" si="6"/>
        <v/>
      </c>
      <c r="T16" s="350" t="str">
        <f t="shared" si="7"/>
        <v/>
      </c>
      <c r="U16" s="351">
        <v>13</v>
      </c>
      <c r="V16" s="352" t="str">
        <f t="array" aca="1" ref="V16" ca="1">IFERROR(IF(ROWS($4:16)&lt;=COUNTA($A$4:$A$29),INDEX($A$4:$A$29,SMALL(IF($A$4:$A$29&lt;&gt;"",ROW(INDIRECT("1:"&amp;ROWS($A$4:$A$29)))),ROWS($4:16))),""),"")</f>
        <v>M</v>
      </c>
      <c r="W16" s="352" t="str">
        <f t="shared" ca="1" si="14"/>
        <v/>
      </c>
      <c r="X16" s="352" t="str">
        <f t="shared" ca="1" si="15"/>
        <v/>
      </c>
      <c r="Y16" s="351" t="str">
        <f ca="1">IFERROR(RANK($X16,$X$4:$X$29,0)+COUNTIF(X$4:X16,X16)-1,"")</f>
        <v/>
      </c>
      <c r="Z16" s="330"/>
      <c r="AA16" s="353" t="str">
        <f>IF(Liste!B15&lt;&gt;"",Liste!B15,"")</f>
        <v>M</v>
      </c>
      <c r="AB16" s="354">
        <f t="shared" si="8"/>
        <v>6</v>
      </c>
      <c r="AC16" s="330"/>
      <c r="AD16" s="355" t="str">
        <f t="shared" ca="1" si="9"/>
        <v/>
      </c>
      <c r="AE16" s="355" t="str">
        <f t="shared" ca="1" si="16"/>
        <v/>
      </c>
      <c r="AF16" s="356" t="str">
        <f t="shared" ca="1" si="10"/>
        <v/>
      </c>
      <c r="AG16" s="356" t="str">
        <f t="array" aca="1" ref="AG16" ca="1">IF(AF16&lt;&gt;"",INDEX(Perf.Sprint!$C$4:$C$41,MATCH(AF16,Perf.Sprint!$B$4:$B$41,0)),"")</f>
        <v/>
      </c>
      <c r="AH16" s="356" t="str">
        <f t="shared" ca="1" si="11"/>
        <v/>
      </c>
      <c r="AI16" s="356" t="str">
        <f t="array" aca="1" ref="AI16" ca="1">IF(AH16&lt;&gt;"",INDEX(Perf.Sprint!$C$4:$C$41,MATCH(AH16,Perf.Sprint!$B$4:$B$41,0)),"")</f>
        <v/>
      </c>
      <c r="AJ16" s="357" t="str">
        <f t="shared" ca="1" si="12"/>
        <v/>
      </c>
      <c r="AK16" s="358" t="str">
        <f t="shared" ca="1" si="13"/>
        <v/>
      </c>
    </row>
    <row r="17" spans="1:37" ht="24" customHeight="1">
      <c r="A17" s="330" t="s">
        <v>159</v>
      </c>
      <c r="B17" s="359"/>
      <c r="C17" s="360" t="str">
        <f>IF(B17&lt;&gt;0,INDEX(Perf.Sprint!$C$4:$C$41,MATCH(B17,Perf.Sprint!$B$4:$B$41,0)),"")</f>
        <v/>
      </c>
      <c r="D17" s="361" t="str">
        <f t="array" ref="D17">IF(B17&lt;&gt;0,INDEX(Perf.Sprint!$AM$4:$AM$40,MATCH(B17,Perf.Sprint!$B$4:$B$40,0)),"")</f>
        <v/>
      </c>
      <c r="E17" s="343" t="s">
        <v>149</v>
      </c>
      <c r="F17" s="362"/>
      <c r="G17" s="360" t="str">
        <f>IF(F17&lt;&gt;0,INDEX(Perf.Sprint!$C$4:$C$41,MATCH(F17,Perf.Sprint!$B$4:$B$41,0)),"")</f>
        <v/>
      </c>
      <c r="H17" s="361" t="str">
        <f t="array" ref="H17">IF(F17&lt;&gt;0,INDEX(Perf.Sprint!$AM$4:$AM$40,MATCH(F17,Perf.Sprint!$B$4:$B$40,0)),"")</f>
        <v/>
      </c>
      <c r="I17" s="345" t="str">
        <f>IF(B17&lt;&gt;0,INDEX(Perf.Sprint!$BJ$4:$BJ$40,MATCH(B17,Perf.Sprint!$B$4:$B$40,0)),"")</f>
        <v/>
      </c>
      <c r="J17" s="345" t="str">
        <f>IF(F17&lt;&gt;0,INDEX(Perf.Sprint!$BG$4:$BG$40,MATCH(F17,Perf.Sprint!$B$4:$B$40,0)),"")</f>
        <v/>
      </c>
      <c r="K17" s="363" t="str">
        <f t="shared" si="0"/>
        <v/>
      </c>
      <c r="L17" s="364" t="str">
        <f t="shared" si="1"/>
        <v/>
      </c>
      <c r="M17" s="361" t="str">
        <f t="shared" si="2"/>
        <v/>
      </c>
      <c r="N17" s="345" t="str">
        <f>IF(F17&lt;&gt;0,INDEX(Perf.Sprint!$BJ$4:$BJ$40,MATCH(F17,Perf.Sprint!$B$4:$B$40,0)),"")</f>
        <v/>
      </c>
      <c r="O17" s="345" t="str">
        <f>IF(B17&lt;&gt;0,INDEX(Perf.Sprint!$BG$4:$BG$40,MATCH(B17,Perf.Sprint!$B$4:$B$40,0)),"")</f>
        <v/>
      </c>
      <c r="P17" s="363" t="str">
        <f t="shared" si="3"/>
        <v/>
      </c>
      <c r="Q17" s="364" t="str">
        <f t="shared" si="4"/>
        <v/>
      </c>
      <c r="R17" s="365" t="str">
        <f t="shared" si="5"/>
        <v/>
      </c>
      <c r="S17" s="349" t="str">
        <f t="shared" si="6"/>
        <v/>
      </c>
      <c r="T17" s="350" t="str">
        <f t="shared" si="7"/>
        <v/>
      </c>
      <c r="U17" s="351">
        <v>14</v>
      </c>
      <c r="V17" s="352" t="str">
        <f t="array" aca="1" ref="V17" ca="1">IFERROR(IF(ROWS($4:17)&lt;=COUNTA($A$4:$A$29),INDEX($A$4:$A$29,SMALL(IF($A$4:$A$29&lt;&gt;"",ROW(INDIRECT("1:"&amp;ROWS($A$4:$A$29)))),ROWS($4:17))),""),"")</f>
        <v>N</v>
      </c>
      <c r="W17" s="352" t="str">
        <f t="shared" ca="1" si="14"/>
        <v/>
      </c>
      <c r="X17" s="352" t="str">
        <f t="shared" ca="1" si="15"/>
        <v/>
      </c>
      <c r="Y17" s="351" t="str">
        <f ca="1">IFERROR(RANK($X17,$X$4:$X$29,0)+COUNTIF(X$4:X17,X17)-1,"")</f>
        <v/>
      </c>
      <c r="Z17" s="350"/>
      <c r="AA17" s="353" t="str">
        <f>IF(Liste!B16&lt;&gt;"",Liste!B16,"")</f>
        <v>N</v>
      </c>
      <c r="AB17" s="354">
        <f t="shared" si="8"/>
        <v>1</v>
      </c>
      <c r="AC17" s="350"/>
      <c r="AD17" s="366" t="str">
        <f t="shared" ca="1" si="9"/>
        <v/>
      </c>
      <c r="AE17" s="366" t="str">
        <f t="shared" ca="1" si="16"/>
        <v/>
      </c>
      <c r="AF17" s="367" t="str">
        <f t="shared" ca="1" si="10"/>
        <v/>
      </c>
      <c r="AG17" s="367" t="str">
        <f t="array" aca="1" ref="AG17" ca="1">IF(AF17&lt;&gt;"",INDEX(Perf.Sprint!$C$4:$C$41,MATCH(AF17,Perf.Sprint!$B$4:$B$41,0)),"")</f>
        <v/>
      </c>
      <c r="AH17" s="367" t="str">
        <f t="shared" ca="1" si="11"/>
        <v/>
      </c>
      <c r="AI17" s="367" t="str">
        <f t="array" aca="1" ref="AI17" ca="1">IF(AH17&lt;&gt;"",INDEX(Perf.Sprint!$C$4:$C$41,MATCH(AH17,Perf.Sprint!$B$4:$B$41,0)),"")</f>
        <v/>
      </c>
      <c r="AJ17" s="368" t="str">
        <f t="shared" ca="1" si="12"/>
        <v/>
      </c>
      <c r="AK17" s="369" t="str">
        <f t="shared" ca="1" si="13"/>
        <v/>
      </c>
    </row>
    <row r="18" spans="1:37" ht="24" customHeight="1">
      <c r="A18" s="330" t="s">
        <v>160</v>
      </c>
      <c r="B18" s="340"/>
      <c r="C18" s="341" t="str">
        <f>IF(B18&lt;&gt;0,INDEX(Perf.Sprint!$C$4:$C$41,MATCH(B18,Perf.Sprint!$B$4:$B$41,0)),"")</f>
        <v/>
      </c>
      <c r="D18" s="342" t="str">
        <f t="array" ref="D18">IF(B18&lt;&gt;0,INDEX(Perf.Sprint!$AM$4:$AM$40,MATCH(B18,Perf.Sprint!$B$4:$B$40,0)),"")</f>
        <v/>
      </c>
      <c r="E18" s="343" t="s">
        <v>149</v>
      </c>
      <c r="F18" s="344"/>
      <c r="G18" s="341" t="str">
        <f>IF(F18&lt;&gt;0,INDEX(Perf.Sprint!$C$4:$C$41,MATCH(F18,Perf.Sprint!$B$4:$B$41,0)),"")</f>
        <v/>
      </c>
      <c r="H18" s="342" t="str">
        <f t="array" ref="H18">IF(F18&lt;&gt;0,INDEX(Perf.Sprint!$AM$4:$AM$40,MATCH(F18,Perf.Sprint!$B$4:$B$40,0)),"")</f>
        <v/>
      </c>
      <c r="I18" s="345" t="str">
        <f>IF(B18&lt;&gt;0,INDEX(Perf.Sprint!$BJ$4:$BJ$40,MATCH(B18,Perf.Sprint!$B$4:$B$40,0)),"")</f>
        <v/>
      </c>
      <c r="J18" s="345" t="str">
        <f>IF(F18&lt;&gt;0,INDEX(Perf.Sprint!$BG$4:$BG$40,MATCH(F18,Perf.Sprint!$B$4:$B$40,0)),"")</f>
        <v/>
      </c>
      <c r="K18" s="346" t="str">
        <f t="shared" si="0"/>
        <v/>
      </c>
      <c r="L18" s="347" t="str">
        <f t="shared" si="1"/>
        <v/>
      </c>
      <c r="M18" s="342" t="str">
        <f t="shared" si="2"/>
        <v/>
      </c>
      <c r="N18" s="345" t="str">
        <f>IF(F18&lt;&gt;0,INDEX(Perf.Sprint!$BJ$4:$BJ$40,MATCH(F18,Perf.Sprint!$B$4:$B$40,0)),"")</f>
        <v/>
      </c>
      <c r="O18" s="345" t="str">
        <f>IF(B18&lt;&gt;0,INDEX(Perf.Sprint!$BG$4:$BG$40,MATCH(B18,Perf.Sprint!$B$4:$B$40,0)),"")</f>
        <v/>
      </c>
      <c r="P18" s="346" t="str">
        <f t="shared" si="3"/>
        <v/>
      </c>
      <c r="Q18" s="347" t="str">
        <f t="shared" si="4"/>
        <v/>
      </c>
      <c r="R18" s="348" t="str">
        <f t="shared" si="5"/>
        <v/>
      </c>
      <c r="S18" s="349" t="str">
        <f t="shared" si="6"/>
        <v/>
      </c>
      <c r="T18" s="350" t="str">
        <f t="shared" si="7"/>
        <v/>
      </c>
      <c r="U18" s="351">
        <v>15</v>
      </c>
      <c r="V18" s="352" t="str">
        <f t="array" aca="1" ref="V18" ca="1">IFERROR(IF(ROWS($4:18)&lt;=COUNTA($A$4:$A$29),INDEX($A$4:$A$29,SMALL(IF($A$4:$A$29&lt;&gt;"",ROW(INDIRECT("1:"&amp;ROWS($A$4:$A$29)))),ROWS($4:18))),""),"")</f>
        <v>O</v>
      </c>
      <c r="W18" s="352" t="str">
        <f t="shared" ca="1" si="14"/>
        <v/>
      </c>
      <c r="X18" s="352" t="str">
        <f t="shared" ca="1" si="15"/>
        <v/>
      </c>
      <c r="Y18" s="351" t="str">
        <f ca="1">IFERROR(RANK($X18,$X$4:$X$29,0)+COUNTIF(X$4:X18,X18)-1,"")</f>
        <v/>
      </c>
      <c r="Z18" s="350"/>
      <c r="AA18" s="353" t="str">
        <f>IF(Liste!B17&lt;&gt;"",Liste!B17,"")</f>
        <v>O</v>
      </c>
      <c r="AB18" s="354">
        <f t="shared" si="8"/>
        <v>1</v>
      </c>
      <c r="AC18" s="350"/>
      <c r="AD18" s="355" t="str">
        <f t="shared" ca="1" si="9"/>
        <v/>
      </c>
      <c r="AE18" s="355" t="str">
        <f t="shared" ca="1" si="16"/>
        <v/>
      </c>
      <c r="AF18" s="356" t="str">
        <f t="shared" ca="1" si="10"/>
        <v/>
      </c>
      <c r="AG18" s="356" t="str">
        <f t="array" aca="1" ref="AG18" ca="1">IF(AF18&lt;&gt;"",INDEX(Perf.Sprint!$C$4:$C$41,MATCH(AF18,Perf.Sprint!$B$4:$B$41,0)),"")</f>
        <v/>
      </c>
      <c r="AH18" s="356" t="str">
        <f t="shared" ca="1" si="11"/>
        <v/>
      </c>
      <c r="AI18" s="356" t="str">
        <f t="array" aca="1" ref="AI18" ca="1">IF(AH18&lt;&gt;"",INDEX(Perf.Sprint!$C$4:$C$41,MATCH(AH18,Perf.Sprint!$B$4:$B$41,0)),"")</f>
        <v/>
      </c>
      <c r="AJ18" s="357" t="str">
        <f t="shared" ca="1" si="12"/>
        <v/>
      </c>
      <c r="AK18" s="358" t="str">
        <f t="shared" ca="1" si="13"/>
        <v/>
      </c>
    </row>
    <row r="19" spans="1:37" ht="24" customHeight="1">
      <c r="A19" s="330" t="s">
        <v>161</v>
      </c>
      <c r="B19" s="359"/>
      <c r="C19" s="360" t="str">
        <f>IF(B19&lt;&gt;0,INDEX(Perf.Sprint!$C$4:$C$41,MATCH(B19,Perf.Sprint!$B$4:$B$41,0)),"")</f>
        <v/>
      </c>
      <c r="D19" s="361" t="str">
        <f t="array" ref="D19">IF(B19&lt;&gt;0,INDEX(Perf.Sprint!$AM$4:$AM$40,MATCH(B19,Perf.Sprint!$B$4:$B$40,0)),"")</f>
        <v/>
      </c>
      <c r="E19" s="343" t="s">
        <v>149</v>
      </c>
      <c r="F19" s="362"/>
      <c r="G19" s="360" t="str">
        <f>IF(F19&lt;&gt;0,INDEX(Perf.Sprint!$C$4:$C$41,MATCH(F19,Perf.Sprint!$B$4:$B$41,0)),"")</f>
        <v/>
      </c>
      <c r="H19" s="361" t="str">
        <f t="array" ref="H19">IF(F19&lt;&gt;0,INDEX(Perf.Sprint!$AM$4:$AM$40,MATCH(F19,Perf.Sprint!$B$4:$B$40,0)),"")</f>
        <v/>
      </c>
      <c r="I19" s="345" t="str">
        <f>IF(B19&lt;&gt;0,INDEX(Perf.Sprint!$BJ$4:$BJ$40,MATCH(B19,Perf.Sprint!$B$4:$B$40,0)),"")</f>
        <v/>
      </c>
      <c r="J19" s="345" t="str">
        <f>IF(F19&lt;&gt;0,INDEX(Perf.Sprint!$BG$4:$BG$40,MATCH(F19,Perf.Sprint!$B$4:$B$40,0)),"")</f>
        <v/>
      </c>
      <c r="K19" s="363" t="str">
        <f t="shared" si="0"/>
        <v/>
      </c>
      <c r="L19" s="364" t="str">
        <f t="shared" si="1"/>
        <v/>
      </c>
      <c r="M19" s="361" t="str">
        <f t="shared" si="2"/>
        <v/>
      </c>
      <c r="N19" s="345" t="str">
        <f>IF(F19&lt;&gt;0,INDEX(Perf.Sprint!$BJ$4:$BJ$40,MATCH(F19,Perf.Sprint!$B$4:$B$40,0)),"")</f>
        <v/>
      </c>
      <c r="O19" s="345" t="str">
        <f>IF(B19&lt;&gt;0,INDEX(Perf.Sprint!$BG$4:$BG$40,MATCH(B19,Perf.Sprint!$B$4:$B$40,0)),"")</f>
        <v/>
      </c>
      <c r="P19" s="363" t="str">
        <f t="shared" si="3"/>
        <v/>
      </c>
      <c r="Q19" s="364" t="str">
        <f t="shared" si="4"/>
        <v/>
      </c>
      <c r="R19" s="365" t="str">
        <f t="shared" si="5"/>
        <v/>
      </c>
      <c r="S19" s="349" t="str">
        <f t="shared" si="6"/>
        <v/>
      </c>
      <c r="T19" s="350" t="str">
        <f t="shared" si="7"/>
        <v/>
      </c>
      <c r="U19" s="351">
        <v>16</v>
      </c>
      <c r="V19" s="352" t="str">
        <f t="array" aca="1" ref="V19" ca="1">IFERROR(IF(ROWS($4:19)&lt;=COUNTA($A$4:$A$29),INDEX($A$4:$A$29,SMALL(IF($A$4:$A$29&lt;&gt;"",ROW(INDIRECT("1:"&amp;ROWS($A$4:$A$29)))),ROWS($4:19))),""),"")</f>
        <v>P</v>
      </c>
      <c r="W19" s="352" t="str">
        <f t="shared" ca="1" si="14"/>
        <v/>
      </c>
      <c r="X19" s="352" t="str">
        <f t="shared" ca="1" si="15"/>
        <v/>
      </c>
      <c r="Y19" s="351" t="str">
        <f ca="1">IFERROR(RANK($X19,$X$4:$X$29,0)+COUNTIF(X$4:X19,X19)-1,"")</f>
        <v/>
      </c>
      <c r="Z19" s="330"/>
      <c r="AA19" s="353" t="str">
        <f>IF(Liste!B18&lt;&gt;"",Liste!B18,"")</f>
        <v>P</v>
      </c>
      <c r="AB19" s="354">
        <f t="shared" si="8"/>
        <v>0</v>
      </c>
      <c r="AC19" s="330"/>
      <c r="AD19" s="366" t="str">
        <f t="shared" ca="1" si="9"/>
        <v/>
      </c>
      <c r="AE19" s="366" t="str">
        <f t="shared" ca="1" si="16"/>
        <v/>
      </c>
      <c r="AF19" s="367" t="str">
        <f t="shared" ca="1" si="10"/>
        <v/>
      </c>
      <c r="AG19" s="367" t="str">
        <f t="array" aca="1" ref="AG19" ca="1">IF(AF19&lt;&gt;"",INDEX(Perf.Sprint!$C$4:$C$41,MATCH(AF19,Perf.Sprint!$B$4:$B$41,0)),"")</f>
        <v/>
      </c>
      <c r="AH19" s="367" t="str">
        <f t="shared" ca="1" si="11"/>
        <v/>
      </c>
      <c r="AI19" s="367" t="str">
        <f t="array" aca="1" ref="AI19" ca="1">IF(AH19&lt;&gt;"",INDEX(Perf.Sprint!$C$4:$C$41,MATCH(AH19,Perf.Sprint!$B$4:$B$41,0)),"")</f>
        <v/>
      </c>
      <c r="AJ19" s="368" t="str">
        <f t="shared" ca="1" si="12"/>
        <v/>
      </c>
      <c r="AK19" s="369" t="str">
        <f t="shared" ca="1" si="13"/>
        <v/>
      </c>
    </row>
    <row r="20" spans="1:37" ht="24" customHeight="1">
      <c r="A20" s="330" t="s">
        <v>162</v>
      </c>
      <c r="B20" s="340"/>
      <c r="C20" s="341" t="str">
        <f>IF(B20&lt;&gt;0,INDEX(Perf.Sprint!$C$4:$C$41,MATCH(B20,Perf.Sprint!$B$4:$B$41,0)),"")</f>
        <v/>
      </c>
      <c r="D20" s="342" t="str">
        <f t="array" ref="D20">IF(B20&lt;&gt;0,INDEX(Perf.Sprint!$AM$4:$AM$40,MATCH(B20,Perf.Sprint!$B$4:$B$40,0)),"")</f>
        <v/>
      </c>
      <c r="E20" s="343" t="s">
        <v>149</v>
      </c>
      <c r="F20" s="344"/>
      <c r="G20" s="341" t="str">
        <f>IF(F20&lt;&gt;0,INDEX(Perf.Sprint!$C$4:$C$41,MATCH(F20,Perf.Sprint!$B$4:$B$41,0)),"")</f>
        <v/>
      </c>
      <c r="H20" s="342" t="str">
        <f t="array" ref="H20">IF(F20&lt;&gt;0,INDEX(Perf.Sprint!$AM$4:$AM$40,MATCH(F20,Perf.Sprint!$B$4:$B$40,0)),"")</f>
        <v/>
      </c>
      <c r="I20" s="345" t="str">
        <f>IF(B20&lt;&gt;0,INDEX(Perf.Sprint!$BJ$4:$BJ$40,MATCH(B20,Perf.Sprint!$B$4:$B$40,0)),"")</f>
        <v/>
      </c>
      <c r="J20" s="345" t="str">
        <f>IF(F20&lt;&gt;0,INDEX(Perf.Sprint!$BG$4:$BG$40,MATCH(F20,Perf.Sprint!$B$4:$B$40,0)),"")</f>
        <v/>
      </c>
      <c r="K20" s="346" t="str">
        <f t="shared" si="0"/>
        <v/>
      </c>
      <c r="L20" s="347" t="str">
        <f t="shared" si="1"/>
        <v/>
      </c>
      <c r="M20" s="342" t="str">
        <f t="shared" si="2"/>
        <v/>
      </c>
      <c r="N20" s="345" t="str">
        <f>IF(F20&lt;&gt;0,INDEX(Perf.Sprint!$BJ$4:$BJ$40,MATCH(F20,Perf.Sprint!$B$4:$B$40,0)),"")</f>
        <v/>
      </c>
      <c r="O20" s="345" t="str">
        <f>IF(B20&lt;&gt;0,INDEX(Perf.Sprint!$BG$4:$BG$40,MATCH(B20,Perf.Sprint!$B$4:$B$40,0)),"")</f>
        <v/>
      </c>
      <c r="P20" s="346" t="str">
        <f t="shared" si="3"/>
        <v/>
      </c>
      <c r="Q20" s="347" t="str">
        <f t="shared" si="4"/>
        <v/>
      </c>
      <c r="R20" s="348" t="str">
        <f t="shared" si="5"/>
        <v/>
      </c>
      <c r="S20" s="349" t="str">
        <f t="shared" si="6"/>
        <v/>
      </c>
      <c r="T20" s="350" t="str">
        <f t="shared" si="7"/>
        <v/>
      </c>
      <c r="U20" s="351">
        <v>17</v>
      </c>
      <c r="V20" s="352" t="str">
        <f t="array" aca="1" ref="V20" ca="1">IFERROR(IF(ROWS($4:20)&lt;=COUNTA($A$4:$A$29),INDEX($A$4:$A$29,SMALL(IF($A$4:$A$29&lt;&gt;"",ROW(INDIRECT("1:"&amp;ROWS($A$4:$A$29)))),ROWS($4:20))),""),"")</f>
        <v>Q</v>
      </c>
      <c r="W20" s="352" t="str">
        <f t="shared" ca="1" si="14"/>
        <v/>
      </c>
      <c r="X20" s="352" t="str">
        <f t="shared" ca="1" si="15"/>
        <v/>
      </c>
      <c r="Y20" s="351" t="str">
        <f ca="1">IFERROR(RANK($X20,$X$4:$X$29,0)+COUNTIF(X$4:X20,X20)-1,"")</f>
        <v/>
      </c>
      <c r="Z20" s="350"/>
      <c r="AA20" s="353" t="str">
        <f>IF(Liste!B19&lt;&gt;"",Liste!B19,"")</f>
        <v>Q</v>
      </c>
      <c r="AB20" s="354">
        <f t="shared" si="8"/>
        <v>1</v>
      </c>
      <c r="AC20" s="350"/>
      <c r="AD20" s="355" t="str">
        <f t="shared" ca="1" si="9"/>
        <v/>
      </c>
      <c r="AE20" s="355" t="str">
        <f t="shared" ca="1" si="16"/>
        <v/>
      </c>
      <c r="AF20" s="356" t="str">
        <f t="shared" ca="1" si="10"/>
        <v/>
      </c>
      <c r="AG20" s="356" t="str">
        <f t="array" aca="1" ref="AG20" ca="1">IF(AF20&lt;&gt;"",INDEX(Perf.Sprint!$C$4:$C$41,MATCH(AF20,Perf.Sprint!$B$4:$B$41,0)),"")</f>
        <v/>
      </c>
      <c r="AH20" s="356" t="str">
        <f t="shared" ca="1" si="11"/>
        <v/>
      </c>
      <c r="AI20" s="356" t="str">
        <f t="array" aca="1" ref="AI20" ca="1">IF(AH20&lt;&gt;"",INDEX(Perf.Sprint!$C$4:$C$41,MATCH(AH20,Perf.Sprint!$B$4:$B$41,0)),"")</f>
        <v/>
      </c>
      <c r="AJ20" s="357" t="str">
        <f t="shared" ca="1" si="12"/>
        <v/>
      </c>
      <c r="AK20" s="358" t="str">
        <f t="shared" ca="1" si="13"/>
        <v/>
      </c>
    </row>
    <row r="21" spans="1:37" ht="24" customHeight="1">
      <c r="A21" s="330" t="s">
        <v>163</v>
      </c>
      <c r="B21" s="359"/>
      <c r="C21" s="360" t="str">
        <f>IF(B21&lt;&gt;0,INDEX(Perf.Sprint!$C$4:$C$41,MATCH(B21,Perf.Sprint!$B$4:$B$41,0)),"")</f>
        <v/>
      </c>
      <c r="D21" s="361" t="str">
        <f t="array" ref="D21">IF(B21&lt;&gt;0,INDEX(Perf.Sprint!$AM$4:$AM$40,MATCH(B21,Perf.Sprint!$B$4:$B$40,0)),"")</f>
        <v/>
      </c>
      <c r="E21" s="343" t="s">
        <v>149</v>
      </c>
      <c r="F21" s="362"/>
      <c r="G21" s="360" t="str">
        <f>IF(F21&lt;&gt;0,INDEX(Perf.Sprint!$C$4:$C$41,MATCH(F21,Perf.Sprint!$B$4:$B$41,0)),"")</f>
        <v/>
      </c>
      <c r="H21" s="361" t="str">
        <f t="array" ref="H21">IF(F21&lt;&gt;0,INDEX(Perf.Sprint!$AM$4:$AM$40,MATCH(F21,Perf.Sprint!$B$4:$B$40,0)),"")</f>
        <v/>
      </c>
      <c r="I21" s="345" t="str">
        <f>IF(B21&lt;&gt;0,INDEX(Perf.Sprint!$BJ$4:$BJ$40,MATCH(B21,Perf.Sprint!$B$4:$B$40,0)),"")</f>
        <v/>
      </c>
      <c r="J21" s="345" t="str">
        <f>IF(F21&lt;&gt;0,INDEX(Perf.Sprint!$BG$4:$BG$40,MATCH(F21,Perf.Sprint!$B$4:$B$40,0)),"")</f>
        <v/>
      </c>
      <c r="K21" s="363" t="str">
        <f t="shared" si="0"/>
        <v/>
      </c>
      <c r="L21" s="364" t="str">
        <f t="shared" si="1"/>
        <v/>
      </c>
      <c r="M21" s="361" t="str">
        <f t="shared" si="2"/>
        <v/>
      </c>
      <c r="N21" s="345" t="str">
        <f>IF(F21&lt;&gt;0,INDEX(Perf.Sprint!$BJ$4:$BJ$40,MATCH(F21,Perf.Sprint!$B$4:$B$40,0)),"")</f>
        <v/>
      </c>
      <c r="O21" s="345" t="str">
        <f>IF(B21&lt;&gt;0,INDEX(Perf.Sprint!$BG$4:$BG$40,MATCH(B21,Perf.Sprint!$B$4:$B$40,0)),"")</f>
        <v/>
      </c>
      <c r="P21" s="363" t="str">
        <f t="shared" si="3"/>
        <v/>
      </c>
      <c r="Q21" s="364" t="str">
        <f t="shared" si="4"/>
        <v/>
      </c>
      <c r="R21" s="365" t="str">
        <f t="shared" si="5"/>
        <v/>
      </c>
      <c r="S21" s="349" t="str">
        <f t="shared" si="6"/>
        <v/>
      </c>
      <c r="T21" s="350" t="str">
        <f t="shared" si="7"/>
        <v/>
      </c>
      <c r="U21" s="351">
        <v>18</v>
      </c>
      <c r="V21" s="352" t="str">
        <f t="array" aca="1" ref="V21" ca="1">IFERROR(IF(ROWS($4:21)&lt;=COUNTA($A$4:$A$29),INDEX($A$4:$A$29,SMALL(IF($A$4:$A$29&lt;&gt;"",ROW(INDIRECT("1:"&amp;ROWS($A$4:$A$29)))),ROWS($4:21))),""),"")</f>
        <v>R</v>
      </c>
      <c r="W21" s="352" t="str">
        <f t="shared" ca="1" si="14"/>
        <v/>
      </c>
      <c r="X21" s="352" t="str">
        <f t="shared" ca="1" si="15"/>
        <v/>
      </c>
      <c r="Y21" s="351" t="str">
        <f ca="1">IFERROR(RANK($X21,$X$4:$X$29,0)+COUNTIF(X$4:X21,X21)-1,"")</f>
        <v/>
      </c>
      <c r="Z21" s="350"/>
      <c r="AA21" s="353" t="str">
        <f>IF(Liste!B20&lt;&gt;"",Liste!B20,"")</f>
        <v>R</v>
      </c>
      <c r="AB21" s="354">
        <f t="shared" si="8"/>
        <v>1</v>
      </c>
      <c r="AC21" s="350"/>
      <c r="AD21" s="366" t="str">
        <f t="shared" ca="1" si="9"/>
        <v/>
      </c>
      <c r="AE21" s="366" t="str">
        <f t="shared" ca="1" si="16"/>
        <v/>
      </c>
      <c r="AF21" s="367" t="str">
        <f t="shared" ca="1" si="10"/>
        <v/>
      </c>
      <c r="AG21" s="367" t="str">
        <f t="array" aca="1" ref="AG21" ca="1">IF(AF21&lt;&gt;"",INDEX(Perf.Sprint!$C$4:$C$41,MATCH(AF21,Perf.Sprint!$B$4:$B$41,0)),"")</f>
        <v/>
      </c>
      <c r="AH21" s="367" t="str">
        <f t="shared" ca="1" si="11"/>
        <v/>
      </c>
      <c r="AI21" s="367" t="str">
        <f t="array" aca="1" ref="AI21" ca="1">IF(AH21&lt;&gt;"",INDEX(Perf.Sprint!$C$4:$C$41,MATCH(AH21,Perf.Sprint!$B$4:$B$41,0)),"")</f>
        <v/>
      </c>
      <c r="AJ21" s="368" t="str">
        <f t="shared" ca="1" si="12"/>
        <v/>
      </c>
      <c r="AK21" s="369" t="str">
        <f t="shared" ca="1" si="13"/>
        <v/>
      </c>
    </row>
    <row r="22" spans="1:37" ht="24" customHeight="1">
      <c r="A22" s="330" t="s">
        <v>164</v>
      </c>
      <c r="B22" s="340"/>
      <c r="C22" s="341" t="str">
        <f>IF(B22&lt;&gt;0,INDEX(Perf.Sprint!$C$4:$C$41,MATCH(B22,Perf.Sprint!$B$4:$B$41,0)),"")</f>
        <v/>
      </c>
      <c r="D22" s="342" t="str">
        <f t="array" ref="D22">IF(B22&lt;&gt;0,INDEX(Perf.Sprint!$AM$4:$AM$40,MATCH(B22,Perf.Sprint!$B$4:$B$40,0)),"")</f>
        <v/>
      </c>
      <c r="E22" s="343" t="s">
        <v>149</v>
      </c>
      <c r="F22" s="344"/>
      <c r="G22" s="341" t="str">
        <f>IF(F22&lt;&gt;0,INDEX(Perf.Sprint!$C$4:$C$41,MATCH(F22,Perf.Sprint!$B$4:$B$41,0)),"")</f>
        <v/>
      </c>
      <c r="H22" s="342" t="str">
        <f t="array" ref="H22">IF(F22&lt;&gt;0,INDEX(Perf.Sprint!$AM$4:$AM$40,MATCH(F22,Perf.Sprint!$B$4:$B$40,0)),"")</f>
        <v/>
      </c>
      <c r="I22" s="345" t="str">
        <f>IF(B22&lt;&gt;0,INDEX(Perf.Sprint!$BJ$4:$BJ$40,MATCH(B22,Perf.Sprint!$B$4:$B$40,0)),"")</f>
        <v/>
      </c>
      <c r="J22" s="345" t="str">
        <f>IF(F22&lt;&gt;0,INDEX(Perf.Sprint!$BG$4:$BG$40,MATCH(F22,Perf.Sprint!$B$4:$B$40,0)),"")</f>
        <v/>
      </c>
      <c r="K22" s="346" t="str">
        <f t="shared" si="0"/>
        <v/>
      </c>
      <c r="L22" s="347" t="str">
        <f t="shared" si="1"/>
        <v/>
      </c>
      <c r="M22" s="342" t="str">
        <f t="shared" si="2"/>
        <v/>
      </c>
      <c r="N22" s="345" t="str">
        <f>IF(F22&lt;&gt;0,INDEX(Perf.Sprint!$BJ$4:$BJ$40,MATCH(F22,Perf.Sprint!$B$4:$B$40,0)),"")</f>
        <v/>
      </c>
      <c r="O22" s="345" t="str">
        <f>IF(B22&lt;&gt;0,INDEX(Perf.Sprint!$BG$4:$BG$40,MATCH(B22,Perf.Sprint!$B$4:$B$40,0)),"")</f>
        <v/>
      </c>
      <c r="P22" s="346" t="str">
        <f t="shared" si="3"/>
        <v/>
      </c>
      <c r="Q22" s="347" t="str">
        <f t="shared" si="4"/>
        <v/>
      </c>
      <c r="R22" s="348" t="str">
        <f t="shared" si="5"/>
        <v/>
      </c>
      <c r="S22" s="349" t="str">
        <f t="shared" si="6"/>
        <v/>
      </c>
      <c r="T22" s="350" t="str">
        <f t="shared" si="7"/>
        <v/>
      </c>
      <c r="U22" s="351">
        <v>19</v>
      </c>
      <c r="V22" s="352" t="str">
        <f t="array" aca="1" ref="V22" ca="1">IFERROR(IF(ROWS($4:22)&lt;=COUNTA($A$4:$A$29),INDEX($A$4:$A$29,SMALL(IF($A$4:$A$29&lt;&gt;"",ROW(INDIRECT("1:"&amp;ROWS($A$4:$A$29)))),ROWS($4:22))),""),"")</f>
        <v>S</v>
      </c>
      <c r="W22" s="352" t="str">
        <f t="shared" ca="1" si="14"/>
        <v/>
      </c>
      <c r="X22" s="352" t="str">
        <f t="shared" ca="1" si="15"/>
        <v/>
      </c>
      <c r="Y22" s="351" t="str">
        <f ca="1">IFERROR(RANK($X22,$X$4:$X$29,0)+COUNTIF(X$4:X22,X22)-1,"")</f>
        <v/>
      </c>
      <c r="Z22" s="330"/>
      <c r="AA22" s="353" t="str">
        <f>IF(Liste!B21&lt;&gt;"",Liste!B21,"")</f>
        <v>S</v>
      </c>
      <c r="AB22" s="354">
        <f t="shared" si="8"/>
        <v>0</v>
      </c>
      <c r="AC22" s="330"/>
      <c r="AD22" s="355" t="str">
        <f t="shared" ca="1" si="9"/>
        <v/>
      </c>
      <c r="AE22" s="355" t="str">
        <f t="shared" ca="1" si="16"/>
        <v/>
      </c>
      <c r="AF22" s="356" t="str">
        <f t="shared" ca="1" si="10"/>
        <v/>
      </c>
      <c r="AG22" s="356" t="str">
        <f t="array" aca="1" ref="AG22" ca="1">IF(AF22&lt;&gt;"",INDEX(Perf.Sprint!$C$4:$C$41,MATCH(AF22,Perf.Sprint!$B$4:$B$41,0)),"")</f>
        <v/>
      </c>
      <c r="AH22" s="356" t="str">
        <f t="shared" ca="1" si="11"/>
        <v/>
      </c>
      <c r="AI22" s="356" t="str">
        <f t="array" aca="1" ref="AI22" ca="1">IF(AH22&lt;&gt;"",INDEX(Perf.Sprint!$C$4:$C$41,MATCH(AH22,Perf.Sprint!$B$4:$B$41,0)),"")</f>
        <v/>
      </c>
      <c r="AJ22" s="357" t="str">
        <f t="shared" ca="1" si="12"/>
        <v/>
      </c>
      <c r="AK22" s="358" t="str">
        <f t="shared" ca="1" si="13"/>
        <v/>
      </c>
    </row>
    <row r="23" spans="1:37" ht="24" customHeight="1">
      <c r="A23" s="330" t="s">
        <v>165</v>
      </c>
      <c r="B23" s="359"/>
      <c r="C23" s="360" t="str">
        <f>IF(B23&lt;&gt;0,INDEX(Perf.Sprint!$C$4:$C$41,MATCH(B23,Perf.Sprint!$B$4:$B$41,0)),"")</f>
        <v/>
      </c>
      <c r="D23" s="361" t="str">
        <f t="array" ref="D23">IF(B23&lt;&gt;0,INDEX(Perf.Sprint!$AM$4:$AM$40,MATCH(B23,Perf.Sprint!$B$4:$B$40,0)),"")</f>
        <v/>
      </c>
      <c r="E23" s="343" t="s">
        <v>149</v>
      </c>
      <c r="F23" s="362"/>
      <c r="G23" s="360" t="str">
        <f>IF(F23&lt;&gt;0,INDEX(Perf.Sprint!$C$4:$C$41,MATCH(F23,Perf.Sprint!$B$4:$B$41,0)),"")</f>
        <v/>
      </c>
      <c r="H23" s="361" t="str">
        <f t="array" ref="H23">IF(F23&lt;&gt;0,INDEX(Perf.Sprint!$AM$4:$AM$40,MATCH(F23,Perf.Sprint!$B$4:$B$40,0)),"")</f>
        <v/>
      </c>
      <c r="I23" s="345" t="str">
        <f>IF(B23&lt;&gt;0,INDEX(Perf.Sprint!$BJ$4:$BJ$40,MATCH(B23,Perf.Sprint!$B$4:$B$40,0)),"")</f>
        <v/>
      </c>
      <c r="J23" s="345" t="str">
        <f>IF(F23&lt;&gt;0,INDEX(Perf.Sprint!$BG$4:$BG$40,MATCH(F23,Perf.Sprint!$B$4:$B$40,0)),"")</f>
        <v/>
      </c>
      <c r="K23" s="363" t="str">
        <f t="shared" si="0"/>
        <v/>
      </c>
      <c r="L23" s="364" t="str">
        <f t="shared" si="1"/>
        <v/>
      </c>
      <c r="M23" s="361" t="str">
        <f t="shared" si="2"/>
        <v/>
      </c>
      <c r="N23" s="345" t="str">
        <f>IF(F23&lt;&gt;0,INDEX(Perf.Sprint!$BJ$4:$BJ$40,MATCH(F23,Perf.Sprint!$B$4:$B$40,0)),"")</f>
        <v/>
      </c>
      <c r="O23" s="345" t="str">
        <f>IF(B23&lt;&gt;0,INDEX(Perf.Sprint!$BG$4:$BG$40,MATCH(B23,Perf.Sprint!$B$4:$B$40,0)),"")</f>
        <v/>
      </c>
      <c r="P23" s="363" t="str">
        <f t="shared" si="3"/>
        <v/>
      </c>
      <c r="Q23" s="364" t="str">
        <f t="shared" si="4"/>
        <v/>
      </c>
      <c r="R23" s="365" t="str">
        <f t="shared" si="5"/>
        <v/>
      </c>
      <c r="S23" s="349" t="str">
        <f t="shared" si="6"/>
        <v/>
      </c>
      <c r="T23" s="350" t="str">
        <f t="shared" si="7"/>
        <v/>
      </c>
      <c r="U23" s="351">
        <v>20</v>
      </c>
      <c r="V23" s="352" t="str">
        <f t="array" aca="1" ref="V23" ca="1">IFERROR(IF(ROWS($4:23)&lt;=COUNTA($A$4:$A$29),INDEX($A$4:$A$29,SMALL(IF($A$4:$A$29&lt;&gt;"",ROW(INDIRECT("1:"&amp;ROWS($A$4:$A$29)))),ROWS($4:23))),""),"")</f>
        <v>T</v>
      </c>
      <c r="W23" s="352" t="str">
        <f t="shared" ca="1" si="14"/>
        <v/>
      </c>
      <c r="X23" s="352" t="str">
        <f t="shared" ca="1" si="15"/>
        <v/>
      </c>
      <c r="Y23" s="351" t="str">
        <f ca="1">IFERROR(RANK($X23,$X$4:$X$29,0)+COUNTIF(X$4:X23,X23)-1,"")</f>
        <v/>
      </c>
      <c r="Z23" s="350"/>
      <c r="AA23" s="353" t="str">
        <f>IF(Liste!B22&lt;&gt;"",Liste!B22,"")</f>
        <v>T</v>
      </c>
      <c r="AB23" s="354">
        <f t="shared" si="8"/>
        <v>1</v>
      </c>
      <c r="AC23" s="350"/>
      <c r="AD23" s="366" t="str">
        <f t="shared" ca="1" si="9"/>
        <v/>
      </c>
      <c r="AE23" s="366" t="str">
        <f t="shared" ca="1" si="16"/>
        <v/>
      </c>
      <c r="AF23" s="367" t="str">
        <f t="shared" ca="1" si="10"/>
        <v/>
      </c>
      <c r="AG23" s="367" t="str">
        <f t="array" aca="1" ref="AG23" ca="1">IF(AF23&lt;&gt;"",INDEX(Perf.Sprint!$C$4:$C$41,MATCH(AF23,Perf.Sprint!$B$4:$B$41,0)),"")</f>
        <v/>
      </c>
      <c r="AH23" s="367" t="str">
        <f t="shared" ca="1" si="11"/>
        <v/>
      </c>
      <c r="AI23" s="367" t="str">
        <f t="array" aca="1" ref="AI23" ca="1">IF(AH23&lt;&gt;"",INDEX(Perf.Sprint!$C$4:$C$41,MATCH(AH23,Perf.Sprint!$B$4:$B$41,0)),"")</f>
        <v/>
      </c>
      <c r="AJ23" s="368" t="str">
        <f t="shared" ca="1" si="12"/>
        <v/>
      </c>
      <c r="AK23" s="369" t="str">
        <f t="shared" ca="1" si="13"/>
        <v/>
      </c>
    </row>
    <row r="24" spans="1:37" ht="24" customHeight="1">
      <c r="A24" s="330" t="s">
        <v>227</v>
      </c>
      <c r="B24" s="340"/>
      <c r="C24" s="341" t="str">
        <f>IF(B24&lt;&gt;0,INDEX(Perf.Sprint!$C$4:$C$41,MATCH(B24,Perf.Sprint!$B$4:$B$41,0)),"")</f>
        <v/>
      </c>
      <c r="D24" s="342" t="str">
        <f t="array" ref="D24">IF(B24&lt;&gt;0,INDEX(Perf.Sprint!$AM$4:$AM$40,MATCH(B24,Perf.Sprint!$B$4:$B$40,0)),"")</f>
        <v/>
      </c>
      <c r="E24" s="343" t="s">
        <v>149</v>
      </c>
      <c r="F24" s="344"/>
      <c r="G24" s="341" t="str">
        <f>IF(F24&lt;&gt;0,INDEX(Perf.Sprint!$C$4:$C$41,MATCH(F24,Perf.Sprint!$B$4:$B$41,0)),"")</f>
        <v/>
      </c>
      <c r="H24" s="342" t="str">
        <f t="array" ref="H24">IF(F24&lt;&gt;0,INDEX(Perf.Sprint!$AM$4:$AM$40,MATCH(F24,Perf.Sprint!$B$4:$B$40,0)),"")</f>
        <v/>
      </c>
      <c r="I24" s="345" t="str">
        <f>IF(B24&lt;&gt;0,INDEX(Perf.Sprint!$BJ$4:$BJ$40,MATCH(B24,Perf.Sprint!$B$4:$B$40,0)),"")</f>
        <v/>
      </c>
      <c r="J24" s="345" t="str">
        <f>IF(F24&lt;&gt;0,INDEX(Perf.Sprint!$BG$4:$BG$40,MATCH(F24,Perf.Sprint!$B$4:$B$40,0)),"")</f>
        <v/>
      </c>
      <c r="K24" s="346" t="str">
        <f t="shared" ref="K24:K25" si="17">IFERROR(SUM(J24+I24),"")</f>
        <v/>
      </c>
      <c r="L24" s="347" t="str">
        <f t="shared" ref="L24:L25" si="18">IF(K24="","",ROUND($K$3/K24,1))</f>
        <v/>
      </c>
      <c r="M24" s="342" t="str">
        <f t="shared" ref="M24:M25" si="19">IF(K24="","",(L24*3600)/1000)</f>
        <v/>
      </c>
      <c r="N24" s="345" t="str">
        <f>IF(F24&lt;&gt;0,INDEX(Perf.Sprint!$BJ$4:$BJ$40,MATCH(F24,Perf.Sprint!$B$4:$B$40,0)),"")</f>
        <v/>
      </c>
      <c r="O24" s="345" t="str">
        <f>IF(B24&lt;&gt;0,INDEX(Perf.Sprint!$BG$4:$BG$40,MATCH(B24,Perf.Sprint!$B$4:$B$40,0)),"")</f>
        <v/>
      </c>
      <c r="P24" s="346" t="str">
        <f t="shared" ref="P24:P25" si="20">IFERROR(SUM(O24+N24),"")</f>
        <v/>
      </c>
      <c r="Q24" s="347" t="str">
        <f t="shared" ref="Q24:Q25" si="21">IF(P24="","",ROUND($K$3/P24,1))</f>
        <v/>
      </c>
      <c r="R24" s="348" t="str">
        <f t="shared" ref="R24:R25" si="22">IF(P24="","",(Q24*3600)/1000)</f>
        <v/>
      </c>
      <c r="S24" s="349" t="str">
        <f t="shared" ref="S24" si="23">IFERROR(AVERAGE(M24,R24),"")</f>
        <v/>
      </c>
      <c r="T24" s="350" t="str">
        <f t="shared" ref="T24" si="24">IFERROR(AVERAGE(K24,P24),"")</f>
        <v/>
      </c>
      <c r="U24" s="351">
        <v>21</v>
      </c>
      <c r="V24" s="352" t="str">
        <f t="array" aca="1" ref="V24" ca="1">IFERROR(IF(ROWS($4:24)&lt;=COUNTA($A$4:$A$29),INDEX($A$4:$A$29,SMALL(IF($A$4:$A$29&lt;&gt;"",ROW(INDIRECT("1:"&amp;ROWS($A$4:$A$29)))),ROWS($4:24))),""),"")</f>
        <v>U</v>
      </c>
      <c r="W24" s="352" t="str">
        <f t="shared" ca="1" si="14"/>
        <v/>
      </c>
      <c r="X24" s="352" t="str">
        <f t="shared" ca="1" si="15"/>
        <v/>
      </c>
      <c r="Y24" s="351" t="str">
        <f ca="1">IFERROR(RANK($X24,$X$4:$X$29,0)+COUNTIF(X$4:X24,X24)-1,"")</f>
        <v/>
      </c>
      <c r="Z24" s="350"/>
      <c r="AA24" s="353" t="str">
        <f>IF(Liste!B23&lt;&gt;"",Liste!B23,"")</f>
        <v>U</v>
      </c>
      <c r="AB24" s="354">
        <f t="shared" si="8"/>
        <v>1</v>
      </c>
      <c r="AC24" s="350"/>
      <c r="AD24" s="355" t="str">
        <f t="shared" ca="1" si="9"/>
        <v/>
      </c>
      <c r="AE24" s="355" t="str">
        <f t="shared" ca="1" si="16"/>
        <v/>
      </c>
      <c r="AF24" s="356" t="str">
        <f t="shared" ca="1" si="10"/>
        <v/>
      </c>
      <c r="AG24" s="356" t="str">
        <f t="array" aca="1" ref="AG24" ca="1">IF(AF24&lt;&gt;"",INDEX(Perf.Sprint!$C$4:$C$41,MATCH(AF24,Perf.Sprint!$B$4:$B$41,0)),"")</f>
        <v/>
      </c>
      <c r="AH24" s="356" t="str">
        <f t="shared" ca="1" si="11"/>
        <v/>
      </c>
      <c r="AI24" s="356" t="str">
        <f t="array" aca="1" ref="AI24" ca="1">IF(AH24&lt;&gt;"",INDEX(Perf.Sprint!$C$4:$C$41,MATCH(AH24,Perf.Sprint!$B$4:$B$41,0)),"")</f>
        <v/>
      </c>
      <c r="AJ24" s="357" t="str">
        <f t="shared" ca="1" si="12"/>
        <v/>
      </c>
      <c r="AK24" s="358" t="str">
        <f t="shared" ca="1" si="13"/>
        <v/>
      </c>
    </row>
    <row r="25" spans="1:37" ht="24" customHeight="1">
      <c r="A25" s="330" t="s">
        <v>228</v>
      </c>
      <c r="B25" s="603"/>
      <c r="C25" s="604" t="str">
        <f>IF(B25&lt;&gt;0,INDEX(Perf.Sprint!$C$4:$C$41,MATCH(B25,Perf.Sprint!$B$4:$B$41,0)),"")</f>
        <v/>
      </c>
      <c r="D25" s="605" t="str">
        <f t="array" ref="D25">IF(B25&lt;&gt;0,INDEX(Perf.Sprint!$AM$4:$AM$40,MATCH(B25,Perf.Sprint!$B$4:$B$40,0)),"")</f>
        <v/>
      </c>
      <c r="E25" s="606" t="s">
        <v>149</v>
      </c>
      <c r="F25" s="607"/>
      <c r="G25" s="604" t="str">
        <f>IF(F25&lt;&gt;0,INDEX(Perf.Sprint!$C$4:$C$41,MATCH(F25,Perf.Sprint!$B$4:$B$41,0)),"")</f>
        <v/>
      </c>
      <c r="H25" s="605" t="str">
        <f t="array" ref="H25">IF(F25&lt;&gt;0,INDEX(Perf.Sprint!$AM$4:$AM$40,MATCH(F25,Perf.Sprint!$B$4:$B$40,0)),"")</f>
        <v/>
      </c>
      <c r="I25" s="608" t="str">
        <f>IF(B25&lt;&gt;0,INDEX(Perf.Sprint!$BJ$4:$BJ$40,MATCH(B25,Perf.Sprint!$B$4:$B$40,0)),"")</f>
        <v/>
      </c>
      <c r="J25" s="608" t="str">
        <f>IF(F25&lt;&gt;0,INDEX(Perf.Sprint!$BG$4:$BG$40,MATCH(F25,Perf.Sprint!$B$4:$B$40,0)),"")</f>
        <v/>
      </c>
      <c r="K25" s="609" t="str">
        <f t="shared" si="17"/>
        <v/>
      </c>
      <c r="L25" s="610" t="str">
        <f t="shared" si="18"/>
        <v/>
      </c>
      <c r="M25" s="605" t="str">
        <f t="shared" si="19"/>
        <v/>
      </c>
      <c r="N25" s="608" t="str">
        <f>IF(F25&lt;&gt;0,INDEX(Perf.Sprint!$BJ$4:$BJ$40,MATCH(F25,Perf.Sprint!$B$4:$B$40,0)),"")</f>
        <v/>
      </c>
      <c r="O25" s="608" t="str">
        <f>IF(B25&lt;&gt;0,INDEX(Perf.Sprint!$BG$4:$BG$40,MATCH(B25,Perf.Sprint!$B$4:$B$40,0)),"")</f>
        <v/>
      </c>
      <c r="P25" s="609" t="str">
        <f t="shared" si="20"/>
        <v/>
      </c>
      <c r="Q25" s="610" t="str">
        <f t="shared" si="21"/>
        <v/>
      </c>
      <c r="R25" s="611" t="str">
        <f t="shared" si="22"/>
        <v/>
      </c>
      <c r="S25" s="349" t="str">
        <f t="shared" ref="S25:S29" si="25">IFERROR(AVERAGE(M25,R25),"")</f>
        <v/>
      </c>
      <c r="T25" s="350" t="str">
        <f t="shared" ref="T25:T29" si="26">IFERROR(AVERAGE(K25,P25),"")</f>
        <v/>
      </c>
      <c r="U25" s="351">
        <v>22</v>
      </c>
      <c r="V25" s="352" t="str">
        <f t="array" aca="1" ref="V25" ca="1">IFERROR(IF(ROWS($4:25)&lt;=COUNTA($A$4:$A$29),INDEX($A$4:$A$29,SMALL(IF($A$4:$A$29&lt;&gt;"",ROW(INDIRECT("1:"&amp;ROWS($A$4:$A$29)))),ROWS($4:25))),""),"")</f>
        <v>v</v>
      </c>
      <c r="W25" s="352" t="str">
        <f t="shared" ca="1" si="14"/>
        <v/>
      </c>
      <c r="X25" s="352" t="str">
        <f t="shared" ca="1" si="15"/>
        <v/>
      </c>
      <c r="Y25" s="351" t="str">
        <f ca="1">IFERROR(RANK($X25,$X$4:$X$29,0)+COUNTIF(X$4:X25,X25)-1,"")</f>
        <v/>
      </c>
      <c r="Z25" s="330"/>
      <c r="AA25" s="353" t="str">
        <f>IF(Liste!B24&lt;&gt;"",Liste!B24,"")</f>
        <v>V</v>
      </c>
      <c r="AB25" s="354">
        <f t="shared" si="8"/>
        <v>1</v>
      </c>
      <c r="AC25" s="330"/>
      <c r="AD25" s="612" t="str">
        <f t="shared" ca="1" si="9"/>
        <v/>
      </c>
      <c r="AE25" s="366" t="str">
        <f t="shared" ca="1" si="16"/>
        <v/>
      </c>
      <c r="AF25" s="367" t="str">
        <f t="shared" ca="1" si="10"/>
        <v/>
      </c>
      <c r="AG25" s="367" t="str">
        <f t="array" aca="1" ref="AG25" ca="1">IF(AF25&lt;&gt;"",INDEX(Perf.Sprint!$C$4:$C$41,MATCH(AF25,Perf.Sprint!$B$4:$B$41,0)),"")</f>
        <v/>
      </c>
      <c r="AH25" s="367" t="str">
        <f t="shared" ca="1" si="11"/>
        <v/>
      </c>
      <c r="AI25" s="367" t="str">
        <f t="array" aca="1" ref="AI25" ca="1">IF(AH25&lt;&gt;"",INDEX(Perf.Sprint!$C$4:$C$41,MATCH(AH25,Perf.Sprint!$B$4:$B$41,0)),"")</f>
        <v/>
      </c>
      <c r="AJ25" s="368" t="str">
        <f t="shared" ca="1" si="12"/>
        <v/>
      </c>
      <c r="AK25" s="369" t="str">
        <f t="shared" ca="1" si="13"/>
        <v/>
      </c>
    </row>
    <row r="26" spans="1:37" ht="24" customHeight="1">
      <c r="A26" s="321" t="s">
        <v>229</v>
      </c>
      <c r="B26" s="340"/>
      <c r="C26" s="341" t="str">
        <f>IF(B26&lt;&gt;0,INDEX(Perf.Sprint!$C$4:$C$41,MATCH(B26,Perf.Sprint!$B$4:$B$41,0)),"")</f>
        <v/>
      </c>
      <c r="D26" s="342" t="str">
        <f t="array" ref="D26">IF(B26&lt;&gt;0,INDEX(Perf.Sprint!$AM$4:$AM$40,MATCH(B26,Perf.Sprint!$B$4:$B$40,0)),"")</f>
        <v/>
      </c>
      <c r="E26" s="343" t="s">
        <v>149</v>
      </c>
      <c r="F26" s="344"/>
      <c r="G26" s="341" t="str">
        <f>IF(F26&lt;&gt;0,INDEX(Perf.Sprint!$C$4:$C$41,MATCH(F26,Perf.Sprint!$B$4:$B$41,0)),"")</f>
        <v/>
      </c>
      <c r="H26" s="342" t="str">
        <f t="array" ref="H26">IF(F26&lt;&gt;0,INDEX(Perf.Sprint!$AM$4:$AM$40,MATCH(F26,Perf.Sprint!$B$4:$B$40,0)),"")</f>
        <v/>
      </c>
      <c r="I26" s="345" t="str">
        <f>IF(B26&lt;&gt;0,INDEX(Perf.Sprint!$BJ$4:$BJ$40,MATCH(B26,Perf.Sprint!$B$4:$B$40,0)),"")</f>
        <v/>
      </c>
      <c r="J26" s="345" t="str">
        <f>IF(F26&lt;&gt;0,INDEX(Perf.Sprint!$BG$4:$BG$40,MATCH(F26,Perf.Sprint!$B$4:$B$40,0)),"")</f>
        <v/>
      </c>
      <c r="K26" s="346" t="str">
        <f t="shared" ref="K26:K29" si="27">IFERROR(SUM(J26+I26),"")</f>
        <v/>
      </c>
      <c r="L26" s="347" t="str">
        <f t="shared" ref="L26:L29" si="28">IF(K26="","",ROUND($K$3/K26,1))</f>
        <v/>
      </c>
      <c r="M26" s="342" t="str">
        <f t="shared" ref="M26:M29" si="29">IF(K26="","",(L26*3600)/1000)</f>
        <v/>
      </c>
      <c r="N26" s="345" t="str">
        <f>IF(F26&lt;&gt;0,INDEX(Perf.Sprint!$BJ$4:$BJ$40,MATCH(F26,Perf.Sprint!$B$4:$B$40,0)),"")</f>
        <v/>
      </c>
      <c r="O26" s="345" t="str">
        <f>IF(B26&lt;&gt;0,INDEX(Perf.Sprint!$BG$4:$BG$40,MATCH(B26,Perf.Sprint!$B$4:$B$40,0)),"")</f>
        <v/>
      </c>
      <c r="P26" s="346" t="str">
        <f t="shared" ref="P26:P29" si="30">IFERROR(SUM(O26+N26),"")</f>
        <v/>
      </c>
      <c r="Q26" s="347" t="str">
        <f t="shared" ref="Q26:Q29" si="31">IF(P26="","",ROUND($K$3/P26,1))</f>
        <v/>
      </c>
      <c r="R26" s="348" t="str">
        <f t="shared" ref="R26:R29" si="32">IF(P26="","",(Q26*3600)/1000)</f>
        <v/>
      </c>
      <c r="S26" s="349" t="str">
        <f t="shared" si="25"/>
        <v/>
      </c>
      <c r="T26" s="350" t="str">
        <f t="shared" si="26"/>
        <v/>
      </c>
      <c r="U26" s="351">
        <v>23</v>
      </c>
      <c r="V26" s="352" t="str">
        <f t="array" aca="1" ref="V26" ca="1">IFERROR(IF(ROWS($4:26)&lt;=COUNTA($A$4:$A$29),INDEX($A$4:$A$29,SMALL(IF($A$4:$A$29&lt;&gt;"",ROW(INDIRECT("1:"&amp;ROWS($A$4:$A$29)))),ROWS($4:26))),""),"")</f>
        <v>W</v>
      </c>
      <c r="W26" s="352" t="str">
        <f t="shared" ca="1" si="14"/>
        <v/>
      </c>
      <c r="X26" s="352" t="str">
        <f t="shared" ca="1" si="15"/>
        <v/>
      </c>
      <c r="Y26" s="351" t="str">
        <f ca="1">IFERROR(RANK($X26,$X$4:$X$29,0)+COUNTIF(X$4:X26,X26)-1,"")</f>
        <v/>
      </c>
      <c r="Z26" s="350"/>
      <c r="AA26" s="353" t="str">
        <f>IF(Liste!B25&lt;&gt;"",Liste!B25,"")</f>
        <v>W</v>
      </c>
      <c r="AB26" s="354">
        <f t="shared" si="8"/>
        <v>0</v>
      </c>
      <c r="AC26" s="350"/>
      <c r="AD26" s="613" t="str">
        <f t="shared" ref="AD26" ca="1" si="33">IFERROR(SMALL($Y$4:$Y$29,$U26),"")</f>
        <v/>
      </c>
      <c r="AE26" s="355" t="str">
        <f t="shared" ca="1" si="16"/>
        <v/>
      </c>
      <c r="AF26" s="356" t="str">
        <f t="shared" ca="1" si="10"/>
        <v/>
      </c>
      <c r="AG26" s="356" t="str">
        <f t="array" aca="1" ref="AG26" ca="1">IF(AF26&lt;&gt;"",INDEX(Perf.Sprint!$C$4:$C$41,MATCH(AF26,Perf.Sprint!$B$4:$B$41,0)),"")</f>
        <v/>
      </c>
      <c r="AH26" s="356" t="str">
        <f t="shared" ca="1" si="11"/>
        <v/>
      </c>
      <c r="AI26" s="356" t="str">
        <f t="array" aca="1" ref="AI26" ca="1">IF(AH26&lt;&gt;"",INDEX(Perf.Sprint!$C$4:$C$41,MATCH(AH26,Perf.Sprint!$B$4:$B$41,0)),"")</f>
        <v/>
      </c>
      <c r="AJ26" s="357" t="str">
        <f t="shared" ca="1" si="12"/>
        <v/>
      </c>
      <c r="AK26" s="358" t="str">
        <f t="shared" ca="1" si="13"/>
        <v/>
      </c>
    </row>
    <row r="27" spans="1:37" ht="24" customHeight="1">
      <c r="A27" s="321" t="s">
        <v>230</v>
      </c>
      <c r="B27" s="603"/>
      <c r="C27" s="604" t="str">
        <f>IF(B27&lt;&gt;0,INDEX(Perf.Sprint!$C$4:$C$41,MATCH(B27,Perf.Sprint!$B$4:$B$41,0)),"")</f>
        <v/>
      </c>
      <c r="D27" s="605" t="str">
        <f t="array" ref="D27">IF(B27&lt;&gt;0,INDEX(Perf.Sprint!$AM$4:$AM$40,MATCH(B27,Perf.Sprint!$B$4:$B$40,0)),"")</f>
        <v/>
      </c>
      <c r="E27" s="606" t="s">
        <v>149</v>
      </c>
      <c r="F27" s="607"/>
      <c r="G27" s="604" t="str">
        <f>IF(F27&lt;&gt;0,INDEX(Perf.Sprint!$C$4:$C$41,MATCH(F27,Perf.Sprint!$B$4:$B$41,0)),"")</f>
        <v/>
      </c>
      <c r="H27" s="605" t="str">
        <f t="array" ref="H27">IF(F27&lt;&gt;0,INDEX(Perf.Sprint!$AM$4:$AM$40,MATCH(F27,Perf.Sprint!$B$4:$B$40,0)),"")</f>
        <v/>
      </c>
      <c r="I27" s="608" t="str">
        <f>IF(B27&lt;&gt;0,INDEX(Perf.Sprint!$BJ$4:$BJ$40,MATCH(B27,Perf.Sprint!$B$4:$B$40,0)),"")</f>
        <v/>
      </c>
      <c r="J27" s="608" t="str">
        <f>IF(F27&lt;&gt;0,INDEX(Perf.Sprint!$BG$4:$BG$40,MATCH(F27,Perf.Sprint!$B$4:$B$40,0)),"")</f>
        <v/>
      </c>
      <c r="K27" s="609" t="str">
        <f t="shared" si="27"/>
        <v/>
      </c>
      <c r="L27" s="610" t="str">
        <f t="shared" si="28"/>
        <v/>
      </c>
      <c r="M27" s="605" t="str">
        <f t="shared" si="29"/>
        <v/>
      </c>
      <c r="N27" s="608" t="str">
        <f>IF(F27&lt;&gt;0,INDEX(Perf.Sprint!$BJ$4:$BJ$40,MATCH(F27,Perf.Sprint!$B$4:$B$40,0)),"")</f>
        <v/>
      </c>
      <c r="O27" s="608" t="str">
        <f>IF(B27&lt;&gt;0,INDEX(Perf.Sprint!$BG$4:$BG$40,MATCH(B27,Perf.Sprint!$B$4:$B$40,0)),"")</f>
        <v/>
      </c>
      <c r="P27" s="609" t="str">
        <f t="shared" si="30"/>
        <v/>
      </c>
      <c r="Q27" s="610" t="str">
        <f t="shared" si="31"/>
        <v/>
      </c>
      <c r="R27" s="611" t="str">
        <f t="shared" si="32"/>
        <v/>
      </c>
      <c r="S27" s="349" t="str">
        <f t="shared" si="25"/>
        <v/>
      </c>
      <c r="T27" s="350" t="str">
        <f t="shared" si="26"/>
        <v/>
      </c>
      <c r="U27" s="351">
        <v>24</v>
      </c>
      <c r="V27" s="352" t="str">
        <f t="array" aca="1" ref="V27" ca="1">IFERROR(IF(ROWS($4:27)&lt;=COUNTA($A$4:$A$29),INDEX($A$4:$A$29,SMALL(IF($A$4:$A$29&lt;&gt;"",ROW(INDIRECT("1:"&amp;ROWS($A$4:$A$29)))),ROWS($4:27))),""),"")</f>
        <v>X</v>
      </c>
      <c r="W27" s="352" t="str">
        <f t="shared" ca="1" si="14"/>
        <v/>
      </c>
      <c r="X27" s="352" t="str">
        <f t="shared" ca="1" si="15"/>
        <v/>
      </c>
      <c r="Y27" s="351" t="str">
        <f ca="1">IFERROR(RANK($X27,$X$4:$X$29,0)+COUNTIF(X$4:X27,X27)-1,"")</f>
        <v/>
      </c>
      <c r="Z27" s="350"/>
      <c r="AA27" s="353" t="str">
        <f>IF(Liste!B26&lt;&gt;"",Liste!B26,"")</f>
        <v>X</v>
      </c>
      <c r="AB27" s="354">
        <f t="shared" si="8"/>
        <v>1</v>
      </c>
      <c r="AC27" s="350"/>
      <c r="AD27" s="612" t="str">
        <f ca="1">IFERROR(SMALL($Y$4:$Y$29,$U27),"")</f>
        <v/>
      </c>
      <c r="AE27" s="366" t="str">
        <f t="shared" ca="1" si="16"/>
        <v/>
      </c>
      <c r="AF27" s="367" t="str">
        <f t="shared" ca="1" si="10"/>
        <v/>
      </c>
      <c r="AG27" s="367" t="str">
        <f t="array" aca="1" ref="AG27" ca="1">IF(AF27&lt;&gt;"",INDEX(Perf.Sprint!$C$4:$C$41,MATCH(AF27,Perf.Sprint!$B$4:$B$41,0)),"")</f>
        <v/>
      </c>
      <c r="AH27" s="367" t="str">
        <f t="shared" ca="1" si="11"/>
        <v/>
      </c>
      <c r="AI27" s="367" t="str">
        <f t="array" aca="1" ref="AI27" ca="1">IF(AH27&lt;&gt;"",INDEX(Perf.Sprint!$C$4:$C$41,MATCH(AH27,Perf.Sprint!$B$4:$B$41,0)),"")</f>
        <v/>
      </c>
      <c r="AJ27" s="368" t="str">
        <f t="shared" ca="1" si="12"/>
        <v/>
      </c>
      <c r="AK27" s="369" t="str">
        <f t="shared" ca="1" si="13"/>
        <v/>
      </c>
    </row>
    <row r="28" spans="1:37" ht="24" customHeight="1">
      <c r="A28" s="321" t="s">
        <v>231</v>
      </c>
      <c r="B28" s="340"/>
      <c r="C28" s="341" t="str">
        <f>IF(B28&lt;&gt;0,INDEX(Perf.Sprint!$C$4:$C$41,MATCH(B28,Perf.Sprint!$B$4:$B$41,0)),"")</f>
        <v/>
      </c>
      <c r="D28" s="342" t="str">
        <f t="array" ref="D28">IF(B28&lt;&gt;0,INDEX(Perf.Sprint!$AM$4:$AM$40,MATCH(B28,Perf.Sprint!$B$4:$B$40,0)),"")</f>
        <v/>
      </c>
      <c r="E28" s="343" t="s">
        <v>149</v>
      </c>
      <c r="F28" s="344"/>
      <c r="G28" s="341" t="str">
        <f>IF(F28&lt;&gt;0,INDEX(Perf.Sprint!$C$4:$C$41,MATCH(F28,Perf.Sprint!$B$4:$B$41,0)),"")</f>
        <v/>
      </c>
      <c r="H28" s="342" t="str">
        <f t="array" ref="H28">IF(F28&lt;&gt;0,INDEX(Perf.Sprint!$AM$4:$AM$40,MATCH(F28,Perf.Sprint!$B$4:$B$40,0)),"")</f>
        <v/>
      </c>
      <c r="I28" s="345" t="str">
        <f>IF(B28&lt;&gt;0,INDEX(Perf.Sprint!$BJ$4:$BJ$40,MATCH(B28,Perf.Sprint!$B$4:$B$40,0)),"")</f>
        <v/>
      </c>
      <c r="J28" s="345" t="str">
        <f>IF(F28&lt;&gt;0,INDEX(Perf.Sprint!$BG$4:$BG$40,MATCH(F28,Perf.Sprint!$B$4:$B$40,0)),"")</f>
        <v/>
      </c>
      <c r="K28" s="346" t="str">
        <f t="shared" si="27"/>
        <v/>
      </c>
      <c r="L28" s="347" t="str">
        <f t="shared" si="28"/>
        <v/>
      </c>
      <c r="M28" s="342" t="str">
        <f t="shared" si="29"/>
        <v/>
      </c>
      <c r="N28" s="345" t="str">
        <f>IF(F28&lt;&gt;0,INDEX(Perf.Sprint!$BJ$4:$BJ$40,MATCH(F28,Perf.Sprint!$B$4:$B$40,0)),"")</f>
        <v/>
      </c>
      <c r="O28" s="345" t="str">
        <f>IF(B28&lt;&gt;0,INDEX(Perf.Sprint!$BG$4:$BG$40,MATCH(B28,Perf.Sprint!$B$4:$B$40,0)),"")</f>
        <v/>
      </c>
      <c r="P28" s="346" t="str">
        <f t="shared" si="30"/>
        <v/>
      </c>
      <c r="Q28" s="347" t="str">
        <f t="shared" si="31"/>
        <v/>
      </c>
      <c r="R28" s="348" t="str">
        <f t="shared" si="32"/>
        <v/>
      </c>
      <c r="S28" s="349" t="str">
        <f t="shared" si="25"/>
        <v/>
      </c>
      <c r="T28" s="350" t="str">
        <f t="shared" si="26"/>
        <v/>
      </c>
      <c r="U28" s="351">
        <v>25</v>
      </c>
      <c r="V28" s="352" t="str">
        <f t="array" aca="1" ref="V28" ca="1">IFERROR(IF(ROWS($4:28)&lt;=COUNTA($A$4:$A$29),INDEX($A$4:$A$29,SMALL(IF($A$4:$A$29&lt;&gt;"",ROW(INDIRECT("1:"&amp;ROWS($A$4:$A$29)))),ROWS($4:28))),""),"")</f>
        <v>Y</v>
      </c>
      <c r="W28" s="352" t="str">
        <f t="shared" ca="1" si="14"/>
        <v/>
      </c>
      <c r="X28" s="352" t="str">
        <f t="shared" ca="1" si="15"/>
        <v/>
      </c>
      <c r="Y28" s="351" t="str">
        <f ca="1">IFERROR(RANK($X28,$X$4:$X$29,0)+COUNTIF(X$4:X28,X28)-1,"")</f>
        <v/>
      </c>
      <c r="Z28" s="330"/>
      <c r="AA28" s="353" t="str">
        <f>IF(Liste!B27&lt;&gt;"",Liste!B27,"")</f>
        <v>Y</v>
      </c>
      <c r="AB28" s="354">
        <f t="shared" si="8"/>
        <v>1</v>
      </c>
      <c r="AC28" s="330"/>
      <c r="AD28" s="613" t="str">
        <f ca="1">IFERROR(SMALL($Y$4:$Y$29,$U28),"")</f>
        <v/>
      </c>
      <c r="AE28" s="355" t="str">
        <f t="shared" ca="1" si="16"/>
        <v/>
      </c>
      <c r="AF28" s="356" t="str">
        <f t="shared" ca="1" si="10"/>
        <v/>
      </c>
      <c r="AG28" s="356" t="str">
        <f t="array" aca="1" ref="AG28" ca="1">IF(AF28&lt;&gt;"",INDEX(Perf.Sprint!$C$4:$C$41,MATCH(AF28,Perf.Sprint!$B$4:$B$41,0)),"")</f>
        <v/>
      </c>
      <c r="AH28" s="356" t="str">
        <f t="shared" ca="1" si="11"/>
        <v/>
      </c>
      <c r="AI28" s="356" t="str">
        <f t="array" aca="1" ref="AI28" ca="1">IF(AH28&lt;&gt;"",INDEX(Perf.Sprint!$C$4:$C$41,MATCH(AH28,Perf.Sprint!$B$4:$B$41,0)),"")</f>
        <v/>
      </c>
      <c r="AJ28" s="357" t="str">
        <f t="shared" ca="1" si="12"/>
        <v/>
      </c>
      <c r="AK28" s="358" t="str">
        <f t="shared" ca="1" si="13"/>
        <v/>
      </c>
    </row>
    <row r="29" spans="1:37" ht="24" customHeight="1" thickBot="1">
      <c r="A29" s="321" t="s">
        <v>232</v>
      </c>
      <c r="B29" s="370"/>
      <c r="C29" s="371" t="str">
        <f>IF(B29&lt;&gt;0,INDEX(Perf.Sprint!$C$4:$C$41,MATCH(B29,Perf.Sprint!$B$4:$B$41,0)),"")</f>
        <v/>
      </c>
      <c r="D29" s="372" t="str">
        <f t="array" ref="D29">IF(B29&lt;&gt;0,INDEX(Perf.Sprint!$AM$4:$AM$40,MATCH(B29,Perf.Sprint!$B$4:$B$40,0)),"")</f>
        <v/>
      </c>
      <c r="E29" s="373" t="s">
        <v>149</v>
      </c>
      <c r="F29" s="374"/>
      <c r="G29" s="371" t="str">
        <f>IF(F29&lt;&gt;0,INDEX(Perf.Sprint!$C$4:$C$41,MATCH(F29,Perf.Sprint!$B$4:$B$41,0)),"")</f>
        <v/>
      </c>
      <c r="H29" s="372" t="str">
        <f t="array" ref="H29">IF(F29&lt;&gt;0,INDEX(Perf.Sprint!$AM$4:$AM$40,MATCH(F29,Perf.Sprint!$B$4:$B$40,0)),"")</f>
        <v/>
      </c>
      <c r="I29" s="375" t="str">
        <f>IF(B29&lt;&gt;0,INDEX(Perf.Sprint!$BJ$4:$BJ$40,MATCH(B29,Perf.Sprint!$B$4:$B$40,0)),"")</f>
        <v/>
      </c>
      <c r="J29" s="375" t="str">
        <f>IF(F29&lt;&gt;0,INDEX(Perf.Sprint!$BG$4:$BG$40,MATCH(F29,Perf.Sprint!$B$4:$B$40,0)),"")</f>
        <v/>
      </c>
      <c r="K29" s="376" t="str">
        <f t="shared" si="27"/>
        <v/>
      </c>
      <c r="L29" s="377" t="str">
        <f t="shared" si="28"/>
        <v/>
      </c>
      <c r="M29" s="372" t="str">
        <f t="shared" si="29"/>
        <v/>
      </c>
      <c r="N29" s="375" t="str">
        <f>IF(F29&lt;&gt;0,INDEX(Perf.Sprint!$BJ$4:$BJ$40,MATCH(F29,Perf.Sprint!$B$4:$B$40,0)),"")</f>
        <v/>
      </c>
      <c r="O29" s="375" t="str">
        <f>IF(B29&lt;&gt;0,INDEX(Perf.Sprint!$BG$4:$BG$40,MATCH(B29,Perf.Sprint!$B$4:$B$40,0)),"")</f>
        <v/>
      </c>
      <c r="P29" s="376" t="str">
        <f t="shared" si="30"/>
        <v/>
      </c>
      <c r="Q29" s="377" t="str">
        <f t="shared" si="31"/>
        <v/>
      </c>
      <c r="R29" s="378" t="str">
        <f t="shared" si="32"/>
        <v/>
      </c>
      <c r="S29" s="349" t="str">
        <f t="shared" si="25"/>
        <v/>
      </c>
      <c r="T29" s="350" t="str">
        <f t="shared" si="26"/>
        <v/>
      </c>
      <c r="U29" s="351">
        <v>26</v>
      </c>
      <c r="V29" s="352" t="str">
        <f t="array" aca="1" ref="V29" ca="1">IFERROR(IF(ROWS($4:29)&lt;=COUNTA($A$4:$A$29),INDEX($A$4:$A$29,SMALL(IF($A$4:$A$29&lt;&gt;"",ROW(INDIRECT("1:"&amp;ROWS($A$4:$A$29)))),ROWS($4:29))),""),"")</f>
        <v>Z</v>
      </c>
      <c r="W29" s="352" t="str">
        <f t="shared" ca="1" si="14"/>
        <v/>
      </c>
      <c r="X29" s="352" t="str">
        <f t="shared" ca="1" si="15"/>
        <v/>
      </c>
      <c r="Y29" s="351" t="str">
        <f ca="1">IFERROR(RANK($X29,$X$4:$X$29,0)+COUNTIF(X$4:X29,X29)-1,"")</f>
        <v/>
      </c>
      <c r="Z29" s="350"/>
      <c r="AA29" s="353" t="str">
        <f>IF(Liste!B28&lt;&gt;"",Liste!B28,"")</f>
        <v>Z</v>
      </c>
      <c r="AB29" s="354">
        <f t="shared" si="8"/>
        <v>0</v>
      </c>
      <c r="AC29" s="350"/>
      <c r="AD29" s="379" t="str">
        <f ca="1">IFERROR(SMALL($Y$4:$Y$29,$U29),"")</f>
        <v/>
      </c>
      <c r="AE29" s="379" t="str">
        <f t="shared" ca="1" si="16"/>
        <v/>
      </c>
      <c r="AF29" s="602" t="str">
        <f t="shared" ca="1" si="10"/>
        <v/>
      </c>
      <c r="AG29" s="380" t="str">
        <f t="array" aca="1" ref="AG29" ca="1">IF(AF29&lt;&gt;"",INDEX(Perf.Sprint!$C$4:$C$41,MATCH(AF29,Perf.Sprint!$B$4:$B$41,0)),"")</f>
        <v/>
      </c>
      <c r="AH29" s="380" t="str">
        <f t="shared" ca="1" si="11"/>
        <v/>
      </c>
      <c r="AI29" s="380" t="str">
        <f t="array" aca="1" ref="AI29" ca="1">IF(AH29&lt;&gt;"",INDEX(Perf.Sprint!$C$4:$C$41,MATCH(AH29,Perf.Sprint!$B$4:$B$41,0)),"")</f>
        <v/>
      </c>
      <c r="AJ29" s="381" t="str">
        <f t="shared" ca="1" si="12"/>
        <v/>
      </c>
      <c r="AK29" s="601" t="str">
        <f t="shared" ca="1" si="13"/>
        <v/>
      </c>
    </row>
    <row r="30" spans="1:37" ht="24" customHeight="1">
      <c r="A30" s="321"/>
      <c r="O30" s="382"/>
      <c r="P30" s="382"/>
      <c r="Q30" s="382"/>
      <c r="R30" s="382"/>
      <c r="S30" s="382"/>
      <c r="Y30" s="350"/>
      <c r="Z30" s="350"/>
      <c r="AA30" s="353" t="str">
        <f>IF(Liste!B29&lt;&gt;"",Liste!B29,"")</f>
        <v/>
      </c>
      <c r="AB30" s="354" t="str">
        <f t="shared" si="8"/>
        <v/>
      </c>
      <c r="AC30" s="350"/>
      <c r="AD30" s="330"/>
      <c r="AE30" s="330"/>
      <c r="AF30" s="330"/>
      <c r="AG30" s="330"/>
      <c r="AH30" s="330"/>
      <c r="AI30" s="330"/>
      <c r="AJ30" s="330"/>
      <c r="AK30" s="330"/>
    </row>
    <row r="31" spans="1:37" ht="24" customHeight="1">
      <c r="A31" s="321"/>
      <c r="O31" s="382"/>
      <c r="P31" s="382"/>
      <c r="Q31" s="382"/>
      <c r="R31" s="382"/>
      <c r="S31" s="382"/>
      <c r="Y31" s="330"/>
      <c r="Z31" s="330"/>
      <c r="AA31" s="353" t="str">
        <f>IF(Liste!B30&lt;&gt;"",Liste!B30,"")</f>
        <v/>
      </c>
      <c r="AB31" s="354" t="str">
        <f t="shared" si="8"/>
        <v/>
      </c>
      <c r="AC31" s="330"/>
      <c r="AD31" s="350"/>
      <c r="AE31" s="350"/>
      <c r="AF31" s="350"/>
      <c r="AG31" s="350"/>
      <c r="AH31" s="350"/>
      <c r="AI31" s="350"/>
      <c r="AJ31" s="350"/>
      <c r="AK31" s="350"/>
    </row>
    <row r="32" spans="1:37" ht="24" customHeight="1">
      <c r="A32" s="321"/>
      <c r="O32" s="382"/>
      <c r="P32" s="382"/>
      <c r="Q32" s="382"/>
      <c r="R32" s="382"/>
      <c r="S32" s="382"/>
      <c r="Y32" s="350"/>
      <c r="Z32" s="350"/>
      <c r="AA32" s="353" t="str">
        <f>IF(Liste!B31&lt;&gt;"",Liste!B31,"")</f>
        <v/>
      </c>
      <c r="AB32" s="354" t="str">
        <f t="shared" si="8"/>
        <v/>
      </c>
      <c r="AC32" s="350"/>
      <c r="AD32" s="350"/>
      <c r="AE32" s="350"/>
      <c r="AF32" s="350"/>
      <c r="AG32" s="350"/>
      <c r="AH32" s="350"/>
      <c r="AI32" s="350"/>
      <c r="AJ32" s="350"/>
      <c r="AK32" s="350"/>
    </row>
    <row r="33" spans="1:37" ht="24" customHeight="1">
      <c r="A33" s="321"/>
      <c r="O33" s="382"/>
      <c r="P33" s="382"/>
      <c r="Q33" s="382"/>
      <c r="R33" s="382"/>
      <c r="S33" s="382"/>
      <c r="Y33" s="350"/>
      <c r="Z33" s="350"/>
      <c r="AA33" s="353" t="str">
        <f>IF(Liste!B32&lt;&gt;"",Liste!B32,"")</f>
        <v/>
      </c>
      <c r="AB33" s="354" t="str">
        <f t="shared" si="8"/>
        <v/>
      </c>
      <c r="AC33" s="350"/>
      <c r="AD33" s="330"/>
      <c r="AE33" s="330"/>
      <c r="AF33" s="330"/>
      <c r="AG33" s="330"/>
      <c r="AH33" s="330"/>
      <c r="AI33" s="330"/>
      <c r="AJ33" s="330"/>
      <c r="AK33" s="330"/>
    </row>
    <row r="34" spans="1:37" ht="24" customHeight="1">
      <c r="A34" s="321"/>
      <c r="O34" s="382"/>
      <c r="P34" s="382"/>
      <c r="Q34" s="382"/>
      <c r="R34" s="382"/>
      <c r="S34" s="382"/>
      <c r="Y34" s="330"/>
      <c r="Z34" s="330"/>
      <c r="AA34" s="353" t="str">
        <f>IF(Liste!B33&lt;&gt;"",Liste!B33,"")</f>
        <v/>
      </c>
      <c r="AB34" s="354" t="str">
        <f t="shared" si="8"/>
        <v/>
      </c>
      <c r="AC34" s="330"/>
      <c r="AD34" s="350"/>
      <c r="AE34" s="350"/>
      <c r="AF34" s="350"/>
      <c r="AG34" s="350"/>
      <c r="AH34" s="350"/>
      <c r="AI34" s="350"/>
      <c r="AJ34" s="350"/>
      <c r="AK34" s="350"/>
    </row>
    <row r="35" spans="1:37" ht="24" customHeight="1">
      <c r="A35" s="321"/>
      <c r="O35" s="382"/>
      <c r="P35" s="382"/>
      <c r="Q35" s="382"/>
      <c r="R35" s="382"/>
      <c r="S35" s="382"/>
      <c r="Y35" s="350"/>
      <c r="Z35" s="350"/>
      <c r="AA35" s="353" t="str">
        <f>IF(Liste!B34&lt;&gt;"",Liste!B34,"")</f>
        <v/>
      </c>
      <c r="AB35" s="354" t="str">
        <f t="shared" si="8"/>
        <v/>
      </c>
      <c r="AC35" s="350"/>
      <c r="AD35" s="350"/>
      <c r="AE35" s="350"/>
      <c r="AF35" s="350"/>
      <c r="AG35" s="350"/>
      <c r="AH35" s="350"/>
      <c r="AI35" s="350"/>
      <c r="AJ35" s="350"/>
      <c r="AK35" s="350"/>
    </row>
    <row r="36" spans="1:37" ht="24" customHeight="1">
      <c r="A36" s="321"/>
      <c r="O36" s="382"/>
      <c r="P36" s="382"/>
      <c r="Q36" s="382"/>
      <c r="R36" s="382"/>
      <c r="S36" s="382"/>
      <c r="Y36" s="350"/>
      <c r="Z36" s="350"/>
      <c r="AA36" s="353" t="str">
        <f>IF(Liste!B35&lt;&gt;"",Liste!B35,"")</f>
        <v/>
      </c>
      <c r="AB36" s="354" t="str">
        <f t="shared" si="8"/>
        <v/>
      </c>
      <c r="AC36" s="350"/>
      <c r="AD36" s="330"/>
      <c r="AE36" s="330"/>
      <c r="AF36" s="330"/>
      <c r="AG36" s="330"/>
      <c r="AH36" s="330"/>
      <c r="AI36" s="330"/>
      <c r="AJ36" s="330"/>
      <c r="AK36" s="330"/>
    </row>
    <row r="37" spans="1:37" ht="24" customHeight="1">
      <c r="A37" s="321"/>
      <c r="O37" s="382"/>
      <c r="P37" s="382"/>
      <c r="Q37" s="382"/>
      <c r="R37" s="382"/>
      <c r="S37" s="382"/>
      <c r="Y37" s="330"/>
      <c r="Z37" s="330"/>
      <c r="AA37" s="353" t="str">
        <f>IF(Liste!B36&lt;&gt;"",Liste!B36,"")</f>
        <v/>
      </c>
      <c r="AB37" s="354" t="str">
        <f t="shared" si="8"/>
        <v/>
      </c>
      <c r="AC37" s="330"/>
      <c r="AD37" s="350"/>
      <c r="AE37" s="350"/>
      <c r="AF37" s="350"/>
      <c r="AG37" s="350"/>
      <c r="AH37" s="350"/>
      <c r="AI37" s="350"/>
      <c r="AJ37" s="350"/>
      <c r="AK37" s="350"/>
    </row>
    <row r="38" spans="1:37" ht="24" customHeight="1">
      <c r="A38" s="321"/>
      <c r="O38" s="382"/>
      <c r="P38" s="382"/>
      <c r="Q38" s="382"/>
      <c r="R38" s="382"/>
      <c r="S38" s="382"/>
      <c r="Y38" s="350"/>
      <c r="Z38" s="350"/>
      <c r="AA38" s="353" t="str">
        <f>IF(Liste!B37&lt;&gt;"",Liste!B37,"")</f>
        <v/>
      </c>
      <c r="AB38" s="354" t="str">
        <f t="shared" si="8"/>
        <v/>
      </c>
      <c r="AC38" s="350"/>
      <c r="AD38" s="350"/>
      <c r="AE38" s="350"/>
      <c r="AF38" s="350"/>
      <c r="AG38" s="350"/>
      <c r="AH38" s="350"/>
      <c r="AI38" s="350"/>
      <c r="AJ38" s="350"/>
      <c r="AK38" s="350"/>
    </row>
    <row r="39" spans="1:37" ht="24" customHeight="1">
      <c r="A39" s="321"/>
      <c r="O39" s="382"/>
      <c r="P39" s="382"/>
      <c r="Q39" s="382"/>
      <c r="R39" s="382"/>
      <c r="S39" s="382"/>
      <c r="Y39" s="350"/>
      <c r="Z39" s="350"/>
      <c r="AA39" s="353" t="str">
        <f>IF(Liste!B38&lt;&gt;"",Liste!B38,"")</f>
        <v/>
      </c>
      <c r="AB39" s="354" t="str">
        <f t="shared" si="8"/>
        <v/>
      </c>
      <c r="AC39" s="350"/>
      <c r="AD39" s="330"/>
      <c r="AE39" s="330"/>
      <c r="AF39" s="330"/>
      <c r="AG39" s="330"/>
      <c r="AH39" s="330"/>
      <c r="AI39" s="330"/>
      <c r="AJ39" s="330"/>
      <c r="AK39" s="330"/>
    </row>
    <row r="40" spans="1:37" ht="24" customHeight="1">
      <c r="A40" s="321"/>
      <c r="O40" s="382"/>
      <c r="P40" s="382"/>
      <c r="Q40" s="382"/>
      <c r="R40" s="382"/>
      <c r="S40" s="382"/>
      <c r="Y40" s="330"/>
      <c r="Z40" s="330"/>
      <c r="AA40" s="353" t="str">
        <f>IF(Liste!B39&lt;&gt;"",Liste!B39,"")</f>
        <v/>
      </c>
      <c r="AB40" s="354" t="str">
        <f t="shared" si="8"/>
        <v/>
      </c>
      <c r="AC40" s="330"/>
      <c r="AD40" s="350"/>
      <c r="AE40" s="350"/>
      <c r="AF40" s="350"/>
      <c r="AG40" s="350"/>
      <c r="AH40" s="350"/>
      <c r="AI40" s="350"/>
      <c r="AJ40" s="350"/>
      <c r="AK40" s="350"/>
    </row>
    <row r="41" spans="1:37" ht="24" customHeight="1">
      <c r="A41" s="321"/>
      <c r="O41" s="382"/>
      <c r="P41" s="382"/>
      <c r="Q41" s="382"/>
      <c r="R41" s="382"/>
      <c r="S41" s="382"/>
      <c r="Y41" s="350"/>
      <c r="Z41" s="350"/>
      <c r="AA41" s="353" t="str">
        <f>IF(Liste!B40&lt;&gt;"",Liste!B40,"")</f>
        <v/>
      </c>
      <c r="AB41" s="354" t="str">
        <f t="shared" si="8"/>
        <v/>
      </c>
      <c r="AC41" s="350"/>
      <c r="AD41" s="350"/>
      <c r="AE41" s="350"/>
      <c r="AF41" s="350"/>
      <c r="AG41" s="350"/>
      <c r="AH41" s="350"/>
      <c r="AI41" s="350"/>
      <c r="AJ41" s="350"/>
      <c r="AK41" s="350"/>
    </row>
    <row r="42" spans="1:37">
      <c r="A42" s="321"/>
      <c r="O42" s="382"/>
      <c r="P42" s="382"/>
      <c r="Q42" s="382"/>
      <c r="R42" s="382"/>
      <c r="S42" s="382"/>
      <c r="Y42" s="350"/>
      <c r="Z42" s="350"/>
      <c r="AA42" s="350"/>
      <c r="AB42" s="350"/>
      <c r="AC42" s="350"/>
      <c r="AD42" s="330"/>
      <c r="AE42" s="330"/>
      <c r="AF42" s="330"/>
      <c r="AG42" s="330"/>
      <c r="AH42" s="330"/>
      <c r="AI42" s="330"/>
      <c r="AJ42" s="330"/>
      <c r="AK42" s="330"/>
    </row>
    <row r="43" spans="1:37">
      <c r="A43" s="321"/>
      <c r="O43" s="382"/>
      <c r="P43" s="382"/>
      <c r="Q43" s="382"/>
      <c r="R43" s="382"/>
      <c r="S43" s="382"/>
      <c r="Y43" s="330"/>
      <c r="Z43" s="330"/>
      <c r="AA43" s="330"/>
      <c r="AB43" s="330"/>
      <c r="AC43" s="330"/>
      <c r="AD43" s="350"/>
      <c r="AE43" s="350"/>
      <c r="AF43" s="350"/>
      <c r="AG43" s="350"/>
      <c r="AH43" s="350"/>
      <c r="AI43" s="350"/>
      <c r="AJ43" s="350"/>
      <c r="AK43" s="350"/>
    </row>
    <row r="44" spans="1:37" hidden="1">
      <c r="A44" s="321"/>
      <c r="O44" s="382"/>
      <c r="P44" s="382"/>
      <c r="Q44" s="382"/>
      <c r="R44" s="382"/>
      <c r="S44" s="382"/>
      <c r="Y44" s="350"/>
      <c r="Z44" s="350"/>
      <c r="AA44" s="350"/>
      <c r="AB44" s="350"/>
      <c r="AC44" s="350"/>
      <c r="AD44" s="350"/>
      <c r="AE44" s="350"/>
      <c r="AF44" s="350"/>
      <c r="AG44" s="350"/>
      <c r="AH44" s="350"/>
      <c r="AI44" s="350"/>
      <c r="AJ44" s="350"/>
      <c r="AK44" s="350"/>
    </row>
    <row r="45" spans="1:37" hidden="1">
      <c r="A45" s="321"/>
      <c r="O45" s="382"/>
      <c r="P45" s="382"/>
      <c r="Q45" s="382"/>
      <c r="R45" s="382"/>
      <c r="S45" s="382"/>
      <c r="Y45" s="350"/>
      <c r="Z45" s="350"/>
      <c r="AA45" s="350"/>
      <c r="AB45" s="350"/>
      <c r="AC45" s="350"/>
      <c r="AD45" s="330"/>
      <c r="AE45" s="330"/>
      <c r="AF45" s="330"/>
      <c r="AG45" s="330"/>
      <c r="AH45" s="330"/>
      <c r="AI45" s="330"/>
      <c r="AJ45" s="330"/>
      <c r="AK45" s="330"/>
    </row>
    <row r="46" spans="1:37" hidden="1">
      <c r="A46" s="321"/>
      <c r="O46" s="382"/>
      <c r="P46" s="382"/>
      <c r="Q46" s="382"/>
      <c r="R46" s="382"/>
      <c r="S46" s="382"/>
      <c r="Y46" s="330"/>
      <c r="Z46" s="330"/>
      <c r="AA46" s="330"/>
      <c r="AB46" s="330"/>
      <c r="AC46" s="330"/>
      <c r="AD46" s="350"/>
      <c r="AE46" s="350"/>
      <c r="AF46" s="350"/>
      <c r="AG46" s="350"/>
      <c r="AH46" s="350"/>
      <c r="AI46" s="350"/>
      <c r="AJ46" s="350"/>
      <c r="AK46" s="350"/>
    </row>
    <row r="47" spans="1:37" hidden="1">
      <c r="A47" s="321"/>
      <c r="O47" s="382"/>
      <c r="P47" s="382"/>
      <c r="Q47" s="382"/>
      <c r="R47" s="382"/>
      <c r="S47" s="382"/>
      <c r="Y47" s="350"/>
      <c r="Z47" s="351">
        <v>1</v>
      </c>
      <c r="AA47" s="383" t="str">
        <f t="array" ref="AA47">IF($AB$2="non",IF(ROWS($2:2)&lt;=COUNTIF($AB$4:$AB$40,0),
INDEX($AA$4:$AA$40,SMALL(IF($AB$4:$AB$40=0,MATCH($AA$4:$AA$40,$AA$4:$AA$40,0)),ROWS($2:2))),""),AA4)</f>
        <v>L</v>
      </c>
      <c r="AB47" s="350"/>
      <c r="AC47" s="350"/>
      <c r="AD47" s="350"/>
      <c r="AE47" s="350"/>
      <c r="AF47" s="350"/>
      <c r="AG47" s="350"/>
      <c r="AH47" s="350"/>
      <c r="AI47" s="350"/>
      <c r="AJ47" s="350"/>
      <c r="AK47" s="350"/>
    </row>
    <row r="48" spans="1:37" hidden="1">
      <c r="A48" s="321"/>
      <c r="O48" s="382"/>
      <c r="P48" s="382"/>
      <c r="Q48" s="382"/>
      <c r="R48" s="382"/>
      <c r="S48" s="382"/>
      <c r="Y48" s="350"/>
      <c r="Z48" s="351">
        <v>2</v>
      </c>
      <c r="AA48" s="383" t="str">
        <f t="array" ref="AA48">IF($AB$2="non",IF(ROWS($2:3)&lt;=COUNTIF($AB$4:$AB$40,0),
INDEX($AA$4:$AA$40,SMALL(IF($AB$4:$AB$40=0,MATCH($AA$4:$AA$40,$AA$4:$AA$40,0)),ROWS($2:3))),""),AA5)</f>
        <v>P</v>
      </c>
      <c r="AB48" s="350"/>
      <c r="AC48" s="350"/>
      <c r="AD48" s="330"/>
      <c r="AE48" s="330"/>
      <c r="AF48" s="330"/>
      <c r="AG48" s="330"/>
      <c r="AH48" s="330"/>
      <c r="AI48" s="330"/>
      <c r="AJ48" s="330"/>
      <c r="AK48" s="330"/>
    </row>
    <row r="49" spans="1:37" hidden="1">
      <c r="A49" s="321"/>
      <c r="O49" s="382"/>
      <c r="P49" s="382"/>
      <c r="Q49" s="382"/>
      <c r="R49" s="382"/>
      <c r="S49" s="382"/>
      <c r="Y49" s="330"/>
      <c r="Z49" s="351">
        <v>3</v>
      </c>
      <c r="AA49" s="383" t="str">
        <f t="array" ref="AA49">IF($AB$2="non",IF(ROWS($2:4)&lt;=COUNTIF($AB$4:$AB$40,0),
INDEX($AA$4:$AA$40,SMALL(IF($AB$4:$AB$40=0,MATCH($AA$4:$AA$40,$AA$4:$AA$40,0)),ROWS($2:4))),""),AA6)</f>
        <v>S</v>
      </c>
      <c r="AB49" s="330"/>
      <c r="AC49" s="330"/>
      <c r="AD49" s="350"/>
      <c r="AE49" s="350"/>
      <c r="AF49" s="350"/>
      <c r="AG49" s="350"/>
      <c r="AH49" s="350"/>
      <c r="AI49" s="350"/>
      <c r="AJ49" s="350"/>
      <c r="AK49" s="350"/>
    </row>
    <row r="50" spans="1:37" hidden="1">
      <c r="A50" s="321"/>
      <c r="O50" s="382"/>
      <c r="P50" s="382"/>
      <c r="Q50" s="382"/>
      <c r="R50" s="382"/>
      <c r="S50" s="382"/>
      <c r="Y50" s="350"/>
      <c r="Z50" s="351">
        <v>4</v>
      </c>
      <c r="AA50" s="383" t="str">
        <f t="array" ref="AA50">IF($AB$2="non",IF(ROWS($2:5)&lt;=COUNTIF($AB$4:$AB$40,0),
INDEX($AA$4:$AA$40,SMALL(IF($AB$4:$AB$40=0,MATCH($AA$4:$AA$40,$AA$4:$AA$40,0)),ROWS($2:5))),""),AA7)</f>
        <v>W</v>
      </c>
      <c r="AB50" s="350"/>
      <c r="AC50" s="350"/>
      <c r="AD50" s="350"/>
      <c r="AE50" s="350"/>
      <c r="AF50" s="350"/>
      <c r="AG50" s="350"/>
      <c r="AH50" s="350"/>
      <c r="AI50" s="350"/>
      <c r="AJ50" s="350"/>
      <c r="AK50" s="350"/>
    </row>
    <row r="51" spans="1:37" hidden="1">
      <c r="A51" s="321"/>
      <c r="O51" s="382"/>
      <c r="P51" s="382"/>
      <c r="Q51" s="382"/>
      <c r="R51" s="382"/>
      <c r="S51" s="382"/>
      <c r="Y51" s="350"/>
      <c r="Z51" s="351">
        <v>5</v>
      </c>
      <c r="AA51" s="383" t="str">
        <f t="array" ref="AA51">IF($AB$2="non",IF(ROWS($2:6)&lt;=COUNTIF($AB$4:$AB$40,0),
INDEX($AA$4:$AA$40,SMALL(IF($AB$4:$AB$40=0,MATCH($AA$4:$AA$40,$AA$4:$AA$40,0)),ROWS($2:6))),""),AA8)</f>
        <v>Z</v>
      </c>
      <c r="AB51" s="350"/>
      <c r="AC51" s="350"/>
      <c r="AD51" s="330"/>
      <c r="AE51" s="330"/>
      <c r="AF51" s="330"/>
      <c r="AG51" s="330"/>
      <c r="AH51" s="330"/>
      <c r="AI51" s="330"/>
      <c r="AJ51" s="330"/>
      <c r="AK51" s="330"/>
    </row>
    <row r="52" spans="1:37" hidden="1">
      <c r="A52" s="321"/>
      <c r="O52" s="382"/>
      <c r="P52" s="382"/>
      <c r="Q52" s="382"/>
      <c r="R52" s="382"/>
      <c r="S52" s="382"/>
      <c r="Y52" s="330"/>
      <c r="Z52" s="351">
        <v>6</v>
      </c>
      <c r="AA52" s="383" t="str">
        <f t="array" ref="AA52">IF($AB$2="non",IF(ROWS($2:7)&lt;=COUNTIF($AB$4:$AB$40,0),
INDEX($AA$4:$AA$40,SMALL(IF($AB$4:$AB$40=0,MATCH($AA$4:$AA$40,$AA$4:$AA$40,0)),ROWS($2:7))),""),AA9)</f>
        <v/>
      </c>
      <c r="AB52" s="330"/>
      <c r="AC52" s="330"/>
      <c r="AD52" s="350"/>
      <c r="AE52" s="350"/>
      <c r="AF52" s="350"/>
      <c r="AG52" s="350"/>
      <c r="AH52" s="350"/>
      <c r="AI52" s="350"/>
      <c r="AJ52" s="350"/>
      <c r="AK52" s="350"/>
    </row>
    <row r="53" spans="1:37" hidden="1">
      <c r="A53" s="321"/>
      <c r="O53" s="382"/>
      <c r="P53" s="382"/>
      <c r="Q53" s="382"/>
      <c r="R53" s="382"/>
      <c r="S53" s="382"/>
      <c r="Y53" s="350"/>
      <c r="Z53" s="351">
        <v>7</v>
      </c>
      <c r="AA53" s="383" t="str">
        <f t="array" ref="AA53">IF($AB$2="non",IF(ROWS($2:8)&lt;=COUNTIF($AB$4:$AB$40,0),
INDEX($AA$4:$AA$40,SMALL(IF($AB$4:$AB$40=0,MATCH($AA$4:$AA$40,$AA$4:$AA$40,0)),ROWS($2:8))),""),AA10)</f>
        <v/>
      </c>
      <c r="AB53" s="350"/>
      <c r="AC53" s="350"/>
      <c r="AD53" s="350"/>
      <c r="AE53" s="350"/>
      <c r="AF53" s="350"/>
      <c r="AG53" s="350"/>
      <c r="AH53" s="350"/>
      <c r="AI53" s="350"/>
      <c r="AJ53" s="350"/>
      <c r="AK53" s="350"/>
    </row>
    <row r="54" spans="1:37" hidden="1">
      <c r="A54" s="321"/>
      <c r="O54" s="382"/>
      <c r="P54" s="382"/>
      <c r="Q54" s="382"/>
      <c r="R54" s="382"/>
      <c r="S54" s="382"/>
      <c r="Y54" s="350"/>
      <c r="Z54" s="351">
        <v>8</v>
      </c>
      <c r="AA54" s="383" t="str">
        <f t="array" ref="AA54">IF($AB$2="non",IF(ROWS($2:9)&lt;=COUNTIF($AB$4:$AB$40,0),
INDEX($AA$4:$AA$40,SMALL(IF($AB$4:$AB$40=0,MATCH($AA$4:$AA$40,$AA$4:$AA$40,0)),ROWS($2:9))),""),AA11)</f>
        <v/>
      </c>
      <c r="AB54" s="350"/>
      <c r="AC54" s="350"/>
      <c r="AD54" s="330"/>
      <c r="AE54" s="330"/>
      <c r="AF54" s="330"/>
      <c r="AG54" s="330"/>
      <c r="AH54" s="330"/>
      <c r="AI54" s="330"/>
      <c r="AJ54" s="330"/>
      <c r="AK54" s="330"/>
    </row>
    <row r="55" spans="1:37" hidden="1">
      <c r="A55" s="321"/>
      <c r="O55" s="382"/>
      <c r="P55" s="382"/>
      <c r="Q55" s="382"/>
      <c r="R55" s="382"/>
      <c r="S55" s="382"/>
      <c r="Y55" s="330"/>
      <c r="Z55" s="351">
        <v>9</v>
      </c>
      <c r="AA55" s="383" t="str">
        <f t="array" ref="AA55">IF($AB$2="non",IF(ROWS($2:10)&lt;=COUNTIF($AB$4:$AB$40,0),
INDEX($AA$4:$AA$40,SMALL(IF($AB$4:$AB$40=0,MATCH($AA$4:$AA$40,$AA$4:$AA$40,0)),ROWS($2:10))),""),AA12)</f>
        <v/>
      </c>
      <c r="AB55" s="330"/>
      <c r="AC55" s="330"/>
      <c r="AD55" s="350"/>
      <c r="AE55" s="350"/>
      <c r="AF55" s="350"/>
      <c r="AG55" s="350"/>
      <c r="AH55" s="350"/>
      <c r="AI55" s="350"/>
      <c r="AJ55" s="350"/>
      <c r="AK55" s="350"/>
    </row>
    <row r="56" spans="1:37" hidden="1">
      <c r="A56" s="321"/>
      <c r="O56" s="382"/>
      <c r="P56" s="382"/>
      <c r="Q56" s="382"/>
      <c r="R56" s="382"/>
      <c r="S56" s="382"/>
      <c r="Y56" s="350"/>
      <c r="Z56" s="351">
        <v>10</v>
      </c>
      <c r="AA56" s="383" t="str">
        <f t="array" ref="AA56">IF($AB$2="non",IF(ROWS($2:11)&lt;=COUNTIF($AB$4:$AB$40,0),
INDEX($AA$4:$AA$40,SMALL(IF($AB$4:$AB$40=0,MATCH($AA$4:$AA$40,$AA$4:$AA$40,0)),ROWS($2:11))),""),AA13)</f>
        <v/>
      </c>
      <c r="AB56" s="350"/>
      <c r="AC56" s="350"/>
      <c r="AD56" s="350"/>
      <c r="AE56" s="350"/>
      <c r="AF56" s="350"/>
      <c r="AG56" s="350"/>
      <c r="AH56" s="350"/>
      <c r="AI56" s="350"/>
      <c r="AJ56" s="350"/>
      <c r="AK56" s="350"/>
    </row>
    <row r="57" spans="1:37" hidden="1">
      <c r="A57" s="321"/>
      <c r="O57" s="382"/>
      <c r="P57" s="382"/>
      <c r="Q57" s="382"/>
      <c r="R57" s="382"/>
      <c r="S57" s="382"/>
      <c r="Y57" s="350"/>
      <c r="Z57" s="351">
        <v>11</v>
      </c>
      <c r="AA57" s="383" t="str">
        <f t="array" ref="AA57">IF($AB$2="non",IF(ROWS($2:12)&lt;=COUNTIF($AB$4:$AB$40,0),
INDEX($AA$4:$AA$40,SMALL(IF($AB$4:$AB$40=0,MATCH($AA$4:$AA$40,$AA$4:$AA$40,0)),ROWS($2:12))),""),AA14)</f>
        <v/>
      </c>
      <c r="AB57" s="350"/>
      <c r="AC57" s="350"/>
      <c r="AD57" s="330"/>
      <c r="AE57" s="330"/>
      <c r="AF57" s="330"/>
      <c r="AG57" s="330"/>
      <c r="AH57" s="330"/>
      <c r="AI57" s="330"/>
      <c r="AJ57" s="330"/>
      <c r="AK57" s="330"/>
    </row>
    <row r="58" spans="1:37" hidden="1">
      <c r="A58" s="321"/>
      <c r="O58" s="382"/>
      <c r="P58" s="382"/>
      <c r="Q58" s="382"/>
      <c r="R58" s="382"/>
      <c r="S58" s="382"/>
      <c r="Y58" s="330"/>
      <c r="Z58" s="351">
        <v>12</v>
      </c>
      <c r="AA58" s="383" t="str">
        <f t="array" ref="AA58">IF($AB$2="non",IF(ROWS($2:13)&lt;=COUNTIF($AB$4:$AB$40,0),
INDEX($AA$4:$AA$40,SMALL(IF($AB$4:$AB$40=0,MATCH($AA$4:$AA$40,$AA$4:$AA$40,0)),ROWS($2:13))),""),AA15)</f>
        <v/>
      </c>
      <c r="AB58" s="330"/>
      <c r="AC58" s="330"/>
      <c r="AD58" s="350"/>
      <c r="AE58" s="350"/>
      <c r="AF58" s="350"/>
      <c r="AG58" s="350"/>
      <c r="AH58" s="350"/>
      <c r="AI58" s="350"/>
      <c r="AJ58" s="350"/>
      <c r="AK58" s="350"/>
    </row>
    <row r="59" spans="1:37" hidden="1">
      <c r="A59" s="321"/>
      <c r="O59" s="382"/>
      <c r="P59" s="382"/>
      <c r="Q59" s="382"/>
      <c r="R59" s="382"/>
      <c r="S59" s="382"/>
      <c r="Y59" s="350"/>
      <c r="Z59" s="351">
        <v>13</v>
      </c>
      <c r="AA59" s="383" t="str">
        <f t="array" ref="AA59">IF($AB$2="non",IF(ROWS($2:14)&lt;=COUNTIF($AB$4:$AB$40,0),
INDEX($AA$4:$AA$40,SMALL(IF($AB$4:$AB$40=0,MATCH($AA$4:$AA$40,$AA$4:$AA$40,0)),ROWS($2:14))),""),AA16)</f>
        <v/>
      </c>
      <c r="AB59" s="350"/>
      <c r="AC59" s="350"/>
      <c r="AD59" s="350"/>
      <c r="AE59" s="350"/>
      <c r="AF59" s="350"/>
      <c r="AG59" s="350"/>
      <c r="AH59" s="350"/>
      <c r="AI59" s="350"/>
      <c r="AJ59" s="350"/>
      <c r="AK59" s="350"/>
    </row>
    <row r="60" spans="1:37" hidden="1">
      <c r="A60" s="321"/>
      <c r="O60" s="382"/>
      <c r="P60" s="382"/>
      <c r="Q60" s="382"/>
      <c r="R60" s="382"/>
      <c r="S60" s="382"/>
      <c r="Y60" s="350"/>
      <c r="Z60" s="351">
        <v>14</v>
      </c>
      <c r="AA60" s="383" t="str">
        <f t="array" ref="AA60">IF($AB$2="non",IF(ROWS($2:15)&lt;=COUNTIF($AB$4:$AB$40,0),
INDEX($AA$4:$AA$40,SMALL(IF($AB$4:$AB$40=0,MATCH($AA$4:$AA$40,$AA$4:$AA$40,0)),ROWS($2:15))),""),AA17)</f>
        <v/>
      </c>
      <c r="AB60" s="350"/>
      <c r="AC60" s="350"/>
      <c r="AD60" s="330"/>
      <c r="AE60" s="330"/>
      <c r="AF60" s="330"/>
      <c r="AG60" s="330"/>
      <c r="AH60" s="330"/>
      <c r="AI60" s="330"/>
      <c r="AJ60" s="330"/>
      <c r="AK60" s="330"/>
    </row>
    <row r="61" spans="1:37" hidden="1">
      <c r="A61" s="321"/>
      <c r="O61" s="382"/>
      <c r="P61" s="382"/>
      <c r="Q61" s="382"/>
      <c r="R61" s="382"/>
      <c r="S61" s="382"/>
      <c r="Y61" s="330"/>
      <c r="Z61" s="351">
        <v>15</v>
      </c>
      <c r="AA61" s="383" t="str">
        <f t="array" ref="AA61">IF($AB$2="non",IF(ROWS($2:16)&lt;=COUNTIF($AB$4:$AB$40,0),
INDEX($AA$4:$AA$40,SMALL(IF($AB$4:$AB$40=0,MATCH($AA$4:$AA$40,$AA$4:$AA$40,0)),ROWS($2:16))),""),AA18)</f>
        <v/>
      </c>
      <c r="AB61" s="330"/>
      <c r="AC61" s="330"/>
      <c r="AD61" s="350"/>
      <c r="AE61" s="350"/>
      <c r="AF61" s="350"/>
      <c r="AG61" s="350"/>
      <c r="AH61" s="350"/>
      <c r="AI61" s="350"/>
      <c r="AJ61" s="350"/>
      <c r="AK61" s="350"/>
    </row>
    <row r="62" spans="1:37" hidden="1">
      <c r="A62" s="321"/>
      <c r="O62" s="382"/>
      <c r="P62" s="382"/>
      <c r="Q62" s="382"/>
      <c r="R62" s="382"/>
      <c r="S62" s="382"/>
      <c r="Y62" s="350"/>
      <c r="Z62" s="351">
        <v>16</v>
      </c>
      <c r="AA62" s="383" t="str">
        <f t="array" ref="AA62">IF($AB$2="non",IF(ROWS($2:17)&lt;=COUNTIF($AB$4:$AB$40,0),
INDEX($AA$4:$AA$40,SMALL(IF($AB$4:$AB$40=0,MATCH($AA$4:$AA$40,$AA$4:$AA$40,0)),ROWS($2:17))),""),AA19)</f>
        <v/>
      </c>
      <c r="AB62" s="350"/>
      <c r="AC62" s="350"/>
      <c r="AD62" s="350"/>
      <c r="AE62" s="350"/>
      <c r="AF62" s="350"/>
      <c r="AG62" s="350"/>
      <c r="AH62" s="350"/>
      <c r="AI62" s="350"/>
      <c r="AJ62" s="350"/>
      <c r="AK62" s="350"/>
    </row>
    <row r="63" spans="1:37" hidden="1">
      <c r="A63" s="321"/>
      <c r="O63" s="382"/>
      <c r="P63" s="382"/>
      <c r="Q63" s="382"/>
      <c r="R63" s="382"/>
      <c r="S63" s="382"/>
      <c r="Y63" s="350"/>
      <c r="Z63" s="351">
        <v>17</v>
      </c>
      <c r="AA63" s="383" t="str">
        <f t="array" ref="AA63">IF($AB$2="non",IF(ROWS($2:18)&lt;=COUNTIF($AB$4:$AB$40,0),
INDEX($AA$4:$AA$40,SMALL(IF($AB$4:$AB$40=0,MATCH($AA$4:$AA$40,$AA$4:$AA$40,0)),ROWS($2:18))),""),AA20)</f>
        <v/>
      </c>
      <c r="AB63" s="350"/>
      <c r="AC63" s="350"/>
    </row>
    <row r="64" spans="1:37" hidden="1">
      <c r="A64" s="321"/>
      <c r="O64" s="382"/>
      <c r="P64" s="382"/>
      <c r="Q64" s="382"/>
      <c r="R64" s="382"/>
      <c r="S64" s="382"/>
      <c r="Z64" s="351">
        <v>18</v>
      </c>
      <c r="AA64" s="383" t="str">
        <f t="array" ref="AA64">IF($AB$2="non",IF(ROWS($2:19)&lt;=COUNTIF($AB$4:$AB$40,0),
INDEX($AA$4:$AA$40,SMALL(IF($AB$4:$AB$40=0,MATCH($AA$4:$AA$40,$AA$4:$AA$40,0)),ROWS($2:19))),""),AA21)</f>
        <v/>
      </c>
    </row>
    <row r="65" spans="1:27" hidden="1">
      <c r="A65" s="321"/>
      <c r="O65" s="382"/>
      <c r="P65" s="382"/>
      <c r="Q65" s="382"/>
      <c r="R65" s="382"/>
      <c r="S65" s="382"/>
      <c r="Z65" s="351">
        <v>19</v>
      </c>
      <c r="AA65" s="383" t="str">
        <f t="array" ref="AA65">IF($AB$2="non",IF(ROWS($2:20)&lt;=COUNTIF($AB$4:$AB$40,0),
INDEX($AA$4:$AA$40,SMALL(IF($AB$4:$AB$40=0,MATCH($AA$4:$AA$40,$AA$4:$AA$40,0)),ROWS($2:20))),""),AA22)</f>
        <v/>
      </c>
    </row>
    <row r="66" spans="1:27" hidden="1">
      <c r="A66" s="321"/>
      <c r="O66" s="382"/>
      <c r="P66" s="382"/>
      <c r="Q66" s="382"/>
      <c r="R66" s="382"/>
      <c r="S66" s="382"/>
      <c r="Z66" s="351">
        <v>20</v>
      </c>
      <c r="AA66" s="383" t="str">
        <f t="array" ref="AA66">IF($AB$2="non",IF(ROWS($2:21)&lt;=COUNTIF($AB$4:$AB$40,0),
INDEX($AA$4:$AA$40,SMALL(IF($AB$4:$AB$40=0,MATCH($AA$4:$AA$40,$AA$4:$AA$40,0)),ROWS($2:21))),""),AA23)</f>
        <v/>
      </c>
    </row>
    <row r="67" spans="1:27" hidden="1">
      <c r="A67" s="321"/>
      <c r="O67" s="382"/>
      <c r="P67" s="382"/>
      <c r="Q67" s="382"/>
      <c r="R67" s="382"/>
      <c r="S67" s="382"/>
      <c r="Z67" s="351">
        <v>21</v>
      </c>
      <c r="AA67" s="383" t="str">
        <f t="array" ref="AA67">IF($AB$2="non",IF(ROWS($2:22)&lt;=COUNTIF($AB$4:$AB$40,0),
INDEX($AA$4:$AA$40,SMALL(IF($AB$4:$AB$40=0,MATCH($AA$4:$AA$40,$AA$4:$AA$40,0)),ROWS($2:22))),""),AA24)</f>
        <v/>
      </c>
    </row>
    <row r="68" spans="1:27" hidden="1">
      <c r="A68" s="321"/>
      <c r="O68" s="382"/>
      <c r="P68" s="382"/>
      <c r="Q68" s="382"/>
      <c r="R68" s="382"/>
      <c r="S68" s="382"/>
      <c r="Z68" s="351">
        <v>22</v>
      </c>
      <c r="AA68" s="383" t="str">
        <f t="array" ref="AA68">IF($AB$2="non",IF(ROWS($2:23)&lt;=COUNTIF($AB$4:$AB$40,0),
INDEX($AA$4:$AA$40,SMALL(IF($AB$4:$AB$40=0,MATCH($AA$4:$AA$40,$AA$4:$AA$40,0)),ROWS($2:23))),""),AA25)</f>
        <v/>
      </c>
    </row>
    <row r="69" spans="1:27" hidden="1">
      <c r="A69" s="321"/>
      <c r="O69" s="382"/>
      <c r="P69" s="382"/>
      <c r="Q69" s="382"/>
      <c r="R69" s="382"/>
      <c r="S69" s="382"/>
      <c r="Z69" s="351">
        <v>23</v>
      </c>
      <c r="AA69" s="383" t="str">
        <f t="array" ref="AA69">IF($AB$2="non",IF(ROWS($2:24)&lt;=COUNTIF($AB$4:$AB$40,0),
INDEX($AA$4:$AA$40,SMALL(IF($AB$4:$AB$40=0,MATCH($AA$4:$AA$40,$AA$4:$AA$40,0)),ROWS($2:24))),""),AA26)</f>
        <v/>
      </c>
    </row>
    <row r="70" spans="1:27" hidden="1">
      <c r="A70" s="321"/>
      <c r="O70" s="382"/>
      <c r="P70" s="382"/>
      <c r="Q70" s="382"/>
      <c r="R70" s="382"/>
      <c r="S70" s="382"/>
      <c r="Z70" s="351">
        <v>24</v>
      </c>
      <c r="AA70" s="383" t="str">
        <f t="array" ref="AA70">IF($AB$2="non",IF(ROWS($2:25)&lt;=COUNTIF($AB$4:$AB$40,0),
INDEX($AA$4:$AA$40,SMALL(IF($AB$4:$AB$40=0,MATCH($AA$4:$AA$40,$AA$4:$AA$40,0)),ROWS($2:25))),""),AA27)</f>
        <v/>
      </c>
    </row>
    <row r="71" spans="1:27" hidden="1">
      <c r="A71" s="321"/>
      <c r="O71" s="382"/>
      <c r="P71" s="382"/>
      <c r="Q71" s="382"/>
      <c r="R71" s="382"/>
      <c r="S71" s="382"/>
      <c r="Z71" s="351">
        <v>25</v>
      </c>
      <c r="AA71" s="383" t="str">
        <f t="array" ref="AA71">IF($AB$2="non",IF(ROWS($2:26)&lt;=COUNTIF($AB$4:$AB$40,0),
INDEX($AA$4:$AA$40,SMALL(IF($AB$4:$AB$40=0,MATCH($AA$4:$AA$40,$AA$4:$AA$40,0)),ROWS($2:26))),""),AA28)</f>
        <v/>
      </c>
    </row>
    <row r="72" spans="1:27" hidden="1">
      <c r="A72" s="321"/>
      <c r="O72" s="382"/>
      <c r="P72" s="382"/>
      <c r="Q72" s="382"/>
      <c r="R72" s="382"/>
      <c r="S72" s="382"/>
      <c r="Z72" s="351">
        <v>26</v>
      </c>
      <c r="AA72" s="383" t="str">
        <f t="array" ref="AA72">IF($AB$2="non",IF(ROWS($2:27)&lt;=COUNTIF($AB$4:$AB$40,0),
INDEX($AA$4:$AA$40,SMALL(IF($AB$4:$AB$40=0,MATCH($AA$4:$AA$40,$AA$4:$AA$40,0)),ROWS($2:27))),""),AA29)</f>
        <v/>
      </c>
    </row>
    <row r="73" spans="1:27" hidden="1">
      <c r="A73" s="321"/>
      <c r="O73" s="382"/>
      <c r="P73" s="382"/>
      <c r="Q73" s="382"/>
      <c r="R73" s="382"/>
      <c r="S73" s="382"/>
      <c r="Z73" s="351">
        <v>27</v>
      </c>
      <c r="AA73" s="383" t="str">
        <f t="array" ref="AA73">IF($AB$2="non",IF(ROWS($2:28)&lt;=COUNTIF($AB$4:$AB$40,0),
INDEX($AA$4:$AA$40,SMALL(IF($AB$4:$AB$40=0,MATCH($AA$4:$AA$40,$AA$4:$AA$40,0)),ROWS($2:28))),""),AA30)</f>
        <v/>
      </c>
    </row>
    <row r="74" spans="1:27" hidden="1">
      <c r="A74" s="321"/>
      <c r="O74" s="382"/>
      <c r="P74" s="382"/>
      <c r="Q74" s="382"/>
      <c r="R74" s="382"/>
      <c r="S74" s="382"/>
      <c r="Z74" s="351">
        <v>28</v>
      </c>
      <c r="AA74" s="383" t="str">
        <f t="array" ref="AA74">IF($AB$2="non",IF(ROWS($2:29)&lt;=COUNTIF($AB$4:$AB$40,0),
INDEX($AA$4:$AA$40,SMALL(IF($AB$4:$AB$40=0,MATCH($AA$4:$AA$40,$AA$4:$AA$40,0)),ROWS($2:29))),""),AA31)</f>
        <v/>
      </c>
    </row>
    <row r="75" spans="1:27" hidden="1">
      <c r="A75" s="321"/>
      <c r="O75" s="382"/>
      <c r="P75" s="382"/>
      <c r="Q75" s="382"/>
      <c r="R75" s="382"/>
      <c r="S75" s="382"/>
      <c r="Z75" s="351">
        <v>29</v>
      </c>
      <c r="AA75" s="383" t="str">
        <f t="array" ref="AA75">IF($AB$2="non",IF(ROWS($2:30)&lt;=COUNTIF($AB$4:$AB$40,0),
INDEX($AA$4:$AA$40,SMALL(IF($AB$4:$AB$40=0,MATCH($AA$4:$AA$40,$AA$4:$AA$40,0)),ROWS($2:30))),""),AA32)</f>
        <v/>
      </c>
    </row>
    <row r="76" spans="1:27" hidden="1">
      <c r="A76" s="321"/>
      <c r="O76" s="382"/>
      <c r="P76" s="382"/>
      <c r="Q76" s="382"/>
      <c r="R76" s="382"/>
      <c r="S76" s="382"/>
      <c r="Z76" s="351">
        <v>30</v>
      </c>
      <c r="AA76" s="383" t="str">
        <f t="array" ref="AA76">IF($AB$2="non",IF(ROWS($2:31)&lt;=COUNTIF($AB$4:$AB$40,0),
INDEX($AA$4:$AA$40,SMALL(IF($AB$4:$AB$40=0,MATCH($AA$4:$AA$40,$AA$4:$AA$40,0)),ROWS($2:31))),""),AA33)</f>
        <v/>
      </c>
    </row>
    <row r="77" spans="1:27" hidden="1">
      <c r="A77" s="321"/>
      <c r="O77" s="382"/>
      <c r="P77" s="382"/>
      <c r="Q77" s="382"/>
      <c r="R77" s="382"/>
      <c r="S77" s="382"/>
      <c r="Z77" s="351">
        <v>31</v>
      </c>
      <c r="AA77" s="383" t="str">
        <f t="array" ref="AA77">IF($AB$2="non",IF(ROWS($2:32)&lt;=COUNTIF($AB$4:$AB$40,0),
INDEX($AA$4:$AA$40,SMALL(IF($AB$4:$AB$40=0,MATCH($AA$4:$AA$40,$AA$4:$AA$40,0)),ROWS($2:32))),""),AA34)</f>
        <v/>
      </c>
    </row>
    <row r="78" spans="1:27" hidden="1">
      <c r="A78" s="321"/>
      <c r="O78" s="382"/>
      <c r="P78" s="382"/>
      <c r="Q78" s="382"/>
      <c r="R78" s="382"/>
      <c r="S78" s="382"/>
      <c r="Z78" s="351">
        <v>32</v>
      </c>
      <c r="AA78" s="383" t="str">
        <f t="array" ref="AA78">IF($AB$2="non",IF(ROWS($2:33)&lt;=COUNTIF($AB$4:$AB$40,0),
INDEX($AA$4:$AA$40,SMALL(IF($AB$4:$AB$40=0,MATCH($AA$4:$AA$40,$AA$4:$AA$40,0)),ROWS($2:33))),""),AA35)</f>
        <v/>
      </c>
    </row>
    <row r="79" spans="1:27" hidden="1">
      <c r="A79" s="321"/>
      <c r="O79" s="382"/>
      <c r="P79" s="382"/>
      <c r="Q79" s="382"/>
      <c r="R79" s="382"/>
      <c r="S79" s="382"/>
      <c r="Z79" s="351">
        <v>33</v>
      </c>
      <c r="AA79" s="383" t="str">
        <f t="array" ref="AA79">IF($AB$2="non",IF(ROWS($2:34)&lt;=COUNTIF($AB$4:$AB$40,0),
INDEX($AA$4:$AA$40,SMALL(IF($AB$4:$AB$40=0,MATCH($AA$4:$AA$40,$AA$4:$AA$40,0)),ROWS($2:34))),""),AA36)</f>
        <v/>
      </c>
    </row>
    <row r="80" spans="1:27" hidden="1">
      <c r="A80" s="321"/>
      <c r="O80" s="382"/>
      <c r="P80" s="382"/>
      <c r="Q80" s="382"/>
      <c r="R80" s="382"/>
      <c r="S80" s="382"/>
      <c r="Z80" s="351">
        <v>34</v>
      </c>
      <c r="AA80" s="383" t="str">
        <f t="array" ref="AA80">IF($AB$2="non",IF(ROWS($2:35)&lt;=COUNTIF($AB$4:$AB$40,0),
INDEX($AA$4:$AA$40,SMALL(IF($AB$4:$AB$40=0,MATCH($AA$4:$AA$40,$AA$4:$AA$40,0)),ROWS($2:35))),""),AA37)</f>
        <v/>
      </c>
    </row>
    <row r="81" spans="1:27" hidden="1">
      <c r="A81" s="321"/>
      <c r="O81" s="382"/>
      <c r="P81" s="382"/>
      <c r="Q81" s="382"/>
      <c r="R81" s="382"/>
      <c r="S81" s="382"/>
      <c r="Z81" s="351">
        <v>35</v>
      </c>
      <c r="AA81" s="383" t="str">
        <f t="array" ref="AA81">IF($AB$2="non",IF(ROWS($2:36)&lt;=COUNTIF($AB$4:$AB$40,0),
INDEX($AA$4:$AA$40,SMALL(IF($AB$4:$AB$40=0,MATCH($AA$4:$AA$40,$AA$4:$AA$40,0)),ROWS($2:36))),""),AA38)</f>
        <v/>
      </c>
    </row>
    <row r="82" spans="1:27" hidden="1">
      <c r="A82" s="321"/>
      <c r="O82" s="382"/>
      <c r="P82" s="382"/>
      <c r="Q82" s="382"/>
      <c r="R82" s="382"/>
      <c r="S82" s="382"/>
      <c r="Z82" s="351">
        <v>36</v>
      </c>
      <c r="AA82" s="383" t="str">
        <f t="array" ref="AA82">IF($AB$2="non",IF(ROWS($2:37)&lt;=COUNTIF($AB$4:$AB$40,0),
INDEX($AA$4:$AA$40,SMALL(IF($AB$4:$AB$40=0,MATCH($AA$4:$AA$40,$AA$4:$AA$40,0)),ROWS($2:37))),""),AA39)</f>
        <v/>
      </c>
    </row>
    <row r="83" spans="1:27" hidden="1">
      <c r="A83" s="321"/>
      <c r="O83" s="382"/>
      <c r="P83" s="382"/>
      <c r="Q83" s="382"/>
      <c r="R83" s="382"/>
      <c r="S83" s="382"/>
      <c r="Z83" s="351">
        <v>37</v>
      </c>
      <c r="AA83" s="383" t="str">
        <f t="array" ref="AA83">IF($AB$2="non",IF(ROWS($2:38)&lt;=COUNTIF($AB$4:$AB$40,0),
INDEX($AA$4:$AA$40,SMALL(IF($AB$4:$AB$40=0,MATCH($AA$4:$AA$40,$AA$4:$AA$40,0)),ROWS($2:38))),""),AA40)</f>
        <v/>
      </c>
    </row>
  </sheetData>
  <sheetProtection sheet="1" objects="1" scenarios="1" formatColumns="0" selectLockedCells="1"/>
  <mergeCells count="5">
    <mergeCell ref="I2:J2"/>
    <mergeCell ref="K2:M2"/>
    <mergeCell ref="N2:O2"/>
    <mergeCell ref="P2:R2"/>
    <mergeCell ref="AF2:AK2"/>
  </mergeCells>
  <dataValidations count="2">
    <dataValidation type="list" allowBlank="1" showInputMessage="1" showErrorMessage="1" sqref="B4:B29 F4:F29" xr:uid="{5D34A77D-7CB2-4C6F-B952-6518B175A3F6}">
      <formula1>OFFSET($AA$47,,,COUNTIF($AB$4:$AB$40,0))</formula1>
    </dataValidation>
    <dataValidation type="list" allowBlank="1" showInputMessage="1" showErrorMessage="1" sqref="AB2" xr:uid="{FCA949B9-801B-4436-A69F-8DF98CCB8CD5}">
      <formula1>"oui,non"</formula1>
    </dataValidation>
  </dataValidations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CD241B0-0211-4035-ABC4-729E659F8412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2" iconId="0"/>
              <x14:cfIcon iconSet="3Symbols2" iconId="2"/>
              <x14:cfIcon iconSet="3Symbols2" iconId="1"/>
            </x14:iconSet>
          </x14:cfRule>
          <xm:sqref>AB4:AB40</xm:sqref>
        </x14:conditionalFormatting>
        <x14:conditionalFormatting xmlns:xm="http://schemas.microsoft.com/office/excel/2006/main">
          <x14:cfRule type="iconSet" priority="2" id="{5BAADFA4-4417-4BF0-AF01-95893A857024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2" iconId="0"/>
              <x14:cfIcon iconSet="3Symbols2" iconId="2"/>
              <x14:cfIcon iconSet="3Symbols2" iconId="1"/>
            </x14:iconSet>
          </x14:cfRule>
          <xm:sqref>AB41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61B00-058F-4331-B687-3349D7E460CA}">
  <dimension ref="A1:AL1048576"/>
  <sheetViews>
    <sheetView tabSelected="1" zoomScaleNormal="100" workbookViewId="0">
      <pane xSplit="7" topLeftCell="H1" activePane="topRight" state="frozen"/>
      <selection pane="topRight" activeCell="T37" sqref="T37"/>
    </sheetView>
  </sheetViews>
  <sheetFormatPr baseColWidth="10" defaultColWidth="0" defaultRowHeight="15" zeroHeight="1"/>
  <cols>
    <col min="1" max="1" width="5.7109375" bestFit="1" customWidth="1"/>
    <col min="2" max="2" width="27.7109375" customWidth="1"/>
    <col min="3" max="3" width="6.140625" customWidth="1"/>
    <col min="4" max="4" width="3" bestFit="1" customWidth="1"/>
    <col min="5" max="5" width="27.7109375" customWidth="1"/>
    <col min="6" max="6" width="6.140625" bestFit="1" customWidth="1"/>
    <col min="7" max="7" width="4.42578125" hidden="1" customWidth="1"/>
    <col min="8" max="8" width="9.28515625" customWidth="1"/>
    <col min="9" max="10" width="5.5703125" hidden="1" customWidth="1"/>
    <col min="11" max="11" width="8.140625" bestFit="1" customWidth="1"/>
    <col min="12" max="12" width="4.5703125" hidden="1" customWidth="1"/>
    <col min="13" max="13" width="5.5703125" bestFit="1" customWidth="1"/>
    <col min="14" max="14" width="6.5703125" bestFit="1" customWidth="1"/>
    <col min="15" max="15" width="4.5703125" hidden="1" customWidth="1"/>
    <col min="16" max="16" width="5.5703125" bestFit="1" customWidth="1"/>
    <col min="17" max="17" width="10" bestFit="1" customWidth="1"/>
    <col min="18" max="21" width="7.7109375" customWidth="1"/>
    <col min="22" max="22" width="5.85546875" bestFit="1" customWidth="1"/>
    <col min="23" max="24" width="5.5703125" hidden="1" customWidth="1"/>
    <col min="25" max="25" width="5.85546875" hidden="1" customWidth="1"/>
    <col min="26" max="26" width="4.5703125" hidden="1" customWidth="1"/>
    <col min="27" max="27" width="9.140625" bestFit="1" customWidth="1"/>
    <col min="28" max="28" width="6.28515625" customWidth="1"/>
    <col min="29" max="29" width="4.5703125" hidden="1" customWidth="1"/>
    <col min="30" max="30" width="7.5703125" bestFit="1" customWidth="1"/>
    <col min="31" max="31" width="9.28515625" customWidth="1"/>
    <col min="32" max="32" width="7" customWidth="1"/>
    <col min="33" max="35" width="4.5703125" hidden="1" customWidth="1"/>
    <col min="36" max="36" width="6.85546875" customWidth="1"/>
    <col min="37" max="37" width="8.28515625" bestFit="1" customWidth="1"/>
    <col min="38" max="38" width="11.42578125" customWidth="1"/>
    <col min="39" max="16384" width="11.42578125" hidden="1"/>
  </cols>
  <sheetData>
    <row r="1" spans="1:37" ht="15.75" thickBot="1">
      <c r="AE1" s="384"/>
      <c r="AF1" s="701" t="s">
        <v>236</v>
      </c>
      <c r="AG1" s="701"/>
      <c r="AH1" s="701"/>
      <c r="AI1" s="701"/>
      <c r="AJ1" s="701"/>
    </row>
    <row r="2" spans="1:37" ht="15.75" customHeight="1" thickBot="1">
      <c r="A2" s="330" t="s">
        <v>166</v>
      </c>
      <c r="B2" s="702"/>
      <c r="C2" s="703"/>
      <c r="D2" s="703"/>
      <c r="E2" s="703"/>
      <c r="F2" s="386"/>
      <c r="G2" s="385"/>
      <c r="H2" s="387" t="s">
        <v>167</v>
      </c>
      <c r="I2" s="388"/>
      <c r="J2" s="321">
        <v>60</v>
      </c>
      <c r="K2" s="704" t="s">
        <v>168</v>
      </c>
      <c r="L2" s="705"/>
      <c r="M2" s="706"/>
      <c r="N2" s="707" t="s">
        <v>169</v>
      </c>
      <c r="O2" s="708"/>
      <c r="P2" s="708"/>
      <c r="Q2" s="390" t="s">
        <v>170</v>
      </c>
      <c r="R2" s="707" t="s">
        <v>171</v>
      </c>
      <c r="S2" s="708"/>
      <c r="T2" s="708"/>
      <c r="U2" s="709"/>
      <c r="V2" s="391">
        <v>20</v>
      </c>
      <c r="W2" s="389"/>
      <c r="X2" s="389"/>
      <c r="Y2" s="389"/>
      <c r="Z2" s="392"/>
      <c r="AA2" s="699" t="s">
        <v>172</v>
      </c>
      <c r="AB2" s="699" t="s">
        <v>173</v>
      </c>
      <c r="AC2" s="393"/>
      <c r="AD2" s="697" t="s">
        <v>174</v>
      </c>
      <c r="AE2" s="699" t="s">
        <v>208</v>
      </c>
      <c r="AF2" s="699" t="s">
        <v>225</v>
      </c>
      <c r="AG2" s="699"/>
      <c r="AH2" s="699"/>
      <c r="AI2" s="699"/>
      <c r="AJ2" s="699" t="s">
        <v>235</v>
      </c>
      <c r="AK2" s="697" t="s">
        <v>175</v>
      </c>
    </row>
    <row r="3" spans="1:37" ht="15.75" thickBot="1">
      <c r="A3" s="330">
        <v>1</v>
      </c>
      <c r="B3" s="394" t="s">
        <v>176</v>
      </c>
      <c r="C3" s="395" t="s">
        <v>134</v>
      </c>
      <c r="D3" s="396"/>
      <c r="E3" s="396" t="s">
        <v>177</v>
      </c>
      <c r="F3" s="396" t="s">
        <v>134</v>
      </c>
      <c r="G3" s="396"/>
      <c r="H3" s="397" t="s">
        <v>187</v>
      </c>
      <c r="I3" s="398">
        <v>35</v>
      </c>
      <c r="J3" s="398">
        <v>25</v>
      </c>
      <c r="K3" s="399" t="s">
        <v>178</v>
      </c>
      <c r="L3" s="400" t="s">
        <v>139</v>
      </c>
      <c r="M3" s="397" t="s">
        <v>140</v>
      </c>
      <c r="N3" s="401" t="s">
        <v>126</v>
      </c>
      <c r="O3" s="400" t="s">
        <v>139</v>
      </c>
      <c r="P3" s="402" t="s">
        <v>140</v>
      </c>
      <c r="Q3" s="403" t="s">
        <v>179</v>
      </c>
      <c r="R3" s="404" t="s">
        <v>180</v>
      </c>
      <c r="S3" s="405" t="s">
        <v>181</v>
      </c>
      <c r="T3" s="405" t="s">
        <v>182</v>
      </c>
      <c r="U3" s="406" t="s">
        <v>183</v>
      </c>
      <c r="V3" s="407" t="s">
        <v>184</v>
      </c>
      <c r="W3" s="408" t="s">
        <v>100</v>
      </c>
      <c r="X3" s="409" t="s">
        <v>185</v>
      </c>
      <c r="Y3" s="409" t="s">
        <v>98</v>
      </c>
      <c r="Z3" s="410" t="s">
        <v>186</v>
      </c>
      <c r="AA3" s="700"/>
      <c r="AB3" s="700"/>
      <c r="AC3" s="411"/>
      <c r="AD3" s="698"/>
      <c r="AE3" s="700"/>
      <c r="AF3" s="700"/>
      <c r="AG3" s="700"/>
      <c r="AH3" s="700"/>
      <c r="AI3" s="700"/>
      <c r="AJ3" s="700"/>
      <c r="AK3" s="698"/>
    </row>
    <row r="4" spans="1:37" ht="24" customHeight="1">
      <c r="A4" s="321" t="s">
        <v>127</v>
      </c>
      <c r="B4" s="412" t="str">
        <f ca="1">IFERROR('Compo.Relais(1)'!$AF4,"")</f>
        <v>C</v>
      </c>
      <c r="C4" s="413" t="str">
        <f ca="1">IF(B4&lt;&gt;"",INDEX(Perf.Sprint!$C$4:$C$41,MATCH(B4,Perf.Sprint!$B$4:$B$41,0)),"")</f>
        <v>M</v>
      </c>
      <c r="D4" s="413" t="s">
        <v>149</v>
      </c>
      <c r="E4" s="413" t="str">
        <f ca="1">IFERROR('Compo.Relais(1)'!$AH4,"")</f>
        <v>D</v>
      </c>
      <c r="F4" s="413" t="str">
        <f ca="1">IF(E4&lt;&gt;"",INDEX(Perf.Sprint!$C$4:$C$41,MATCH(E4,Perf.Sprint!$B$4:$B$41,0)),"")</f>
        <v>M</v>
      </c>
      <c r="G4" s="413" t="str">
        <f ca="1">CONCATENATE(C4,F4)</f>
        <v>MM</v>
      </c>
      <c r="H4" s="414"/>
      <c r="I4" s="415">
        <f ca="1">IF(B4&lt;&gt;0,INDEX(Perf.Sprint!$BJ$4:$BJ$40,MATCH(B4,Perf.Sprint!$B$4:$B$40,0)),"")</f>
        <v>5.5</v>
      </c>
      <c r="J4" s="415">
        <f ca="1">IF(E4&lt;&gt;0,INDEX(Perf.Sprint!$BG$4:$BG$40,MATCH(E4,Perf.Sprint!$B$4:$B$40,0)),"")</f>
        <v>3.3</v>
      </c>
      <c r="K4" s="416">
        <f ca="1">IFERROR(SUM(I4+J4),"")</f>
        <v>8.8000000000000007</v>
      </c>
      <c r="L4" s="413">
        <f ca="1">IF(K4="","",ROUND($J$2/K4,1))</f>
        <v>6.8</v>
      </c>
      <c r="M4" s="417">
        <f ca="1">IF(K4="","",(L4*3600)/1000)</f>
        <v>24.48</v>
      </c>
      <c r="N4" s="418">
        <v>9.06</v>
      </c>
      <c r="O4" s="419">
        <f>IFERROR(IF(N4="","",ROUND($J$2/N4,1)),"")</f>
        <v>6.6</v>
      </c>
      <c r="P4" s="420">
        <f>IF(O4&lt;&gt;"",(O4*3600)/1000,"")</f>
        <v>23.76</v>
      </c>
      <c r="Q4" s="421" t="s">
        <v>209</v>
      </c>
      <c r="R4" s="422" t="s">
        <v>239</v>
      </c>
      <c r="S4" s="423" t="s">
        <v>239</v>
      </c>
      <c r="T4" s="423" t="s">
        <v>239</v>
      </c>
      <c r="U4" s="424" t="s">
        <v>239</v>
      </c>
      <c r="V4" s="425">
        <f>IF(COUNT(N4:N5)=2,SUM(N4:N5),"")</f>
        <v>18.149999999999999</v>
      </c>
      <c r="W4" s="426">
        <f ca="1">IF($V4="","",IF(OR(AND(C4="M",F4="F"),AND(C4="F",F4="M")),VLOOKUP($V4,INDIRECT("rel"),1),VLOOKUP($V4,INDIRECT(C4&amp;"rel"),1)))</f>
        <v>18</v>
      </c>
      <c r="X4" s="426">
        <f ca="1">IFERROR(IF(OR(AND(C4="M",F4="F"),AND(C4="F",F4="M")),INDEX(INDIRECT("rel"),MATCH($V4,INDIRECT("rel"))+1),INDEX(INDIRECT(C4&amp;"rel"),MATCH($V4,INDIRECT(C4&amp;"rel"))+1)),"")</f>
        <v>18.2</v>
      </c>
      <c r="Y4" s="426">
        <f ca="1">IF(X4="",W4,IF(V4=W4,W4,X4))</f>
        <v>18.2</v>
      </c>
      <c r="Z4" s="427">
        <f ca="1">IF(Y4="","",IF(OR(AND(C4="M",F4="F"),AND(C4="F",F4="M")),VLOOKUP(Y4,relais,3),IF(C4="F",VLOOKUP(Y4,relaisf,7),VLOOKUP(Y4,relaisg,5))))</f>
        <v>5.75</v>
      </c>
      <c r="AA4" s="428">
        <f ca="1">IFERROR(AVERAGE(Z4,Z5),"")</f>
        <v>5.75</v>
      </c>
      <c r="AB4" s="429">
        <f ca="1">IFERROR(IF(COUNT($N4)=1,ABS(($N4/K4)-1),""),"")</f>
        <v>2.9545454545454541E-2</v>
      </c>
      <c r="AC4" s="430">
        <f ca="1">IF($AB4&lt;&gt;"",INDEX(Barème!$AI$3:$AI$28,MATCH($AB4,Barème!$AH$3:$AH$28,-1)),"")</f>
        <v>5.5</v>
      </c>
      <c r="AD4" s="428">
        <f ca="1">IF(COUNT(AC4:AC5)&gt;1,AVERAGE(AC4,AC5),"")</f>
        <v>4.875</v>
      </c>
      <c r="AE4" s="431">
        <f>IFERROR(INDEX(Pts_Zone,MATCH(Q4,Zone,0)),"")</f>
        <v>4</v>
      </c>
      <c r="AF4" s="428">
        <f>IFERROR(AVERAGE(AE4:AE5),"")</f>
        <v>4</v>
      </c>
      <c r="AG4" s="432">
        <f t="shared" ref="AG4:AG5" si="0">IF(COUNTA(R4)=1,COUNTIF(R4,"OUI"),"")</f>
        <v>1</v>
      </c>
      <c r="AH4" s="433">
        <f t="shared" ref="AH4:AH5" si="1">IF(COUNTA(U4)=1,COUNTIF(U4,"OUI"),"")</f>
        <v>1</v>
      </c>
      <c r="AI4" s="434">
        <f t="shared" ref="AI4:AI5" si="2">IF(COUNTA(S4:T4)=2,COUNTIF(S4:T4,"OUI"),"")</f>
        <v>2</v>
      </c>
      <c r="AJ4" s="428">
        <f>IF(COUNT(AG4:AH4,AI5)=3,MROUND(SUM(AG4,AH4,AI5),0.25),"")</f>
        <v>4</v>
      </c>
      <c r="AK4" s="428">
        <f>IFERROR((AF4/4)*3+(AJ4/4)*3,"")</f>
        <v>6</v>
      </c>
    </row>
    <row r="5" spans="1:37" ht="24" customHeight="1" thickBot="1">
      <c r="A5" s="321" t="s">
        <v>128</v>
      </c>
      <c r="B5" s="435" t="str">
        <f ca="1">E4</f>
        <v>D</v>
      </c>
      <c r="C5" s="436" t="str">
        <f ca="1">IF(B5&lt;&gt;"",INDEX(Perf.Sprint!$C$4:$C$41,MATCH(B5,Perf.Sprint!$B$4:$B$41,0)),"")</f>
        <v>M</v>
      </c>
      <c r="D5" s="436" t="s">
        <v>149</v>
      </c>
      <c r="E5" s="436" t="str">
        <f ca="1">B4</f>
        <v>C</v>
      </c>
      <c r="F5" s="436" t="str">
        <f ca="1">IF(E5&lt;&gt;"",INDEX(Perf.Sprint!$C$4:$C$41,MATCH(E5,Perf.Sprint!$B$4:$B$41,0)),"")</f>
        <v>M</v>
      </c>
      <c r="G5" s="436" t="str">
        <f ca="1">CONCATENATE(F5,C5)</f>
        <v>MM</v>
      </c>
      <c r="H5" s="437"/>
      <c r="I5" s="438">
        <f ca="1">IF(B5&lt;&gt;0,INDEX(Perf.Sprint!$BJ$4:$BJ$40,MATCH(B5,Perf.Sprint!$B$4:$B$40,0)),"")</f>
        <v>5.4499999999999993</v>
      </c>
      <c r="J5" s="438">
        <f ca="1">IF(E5&lt;&gt;0,INDEX(Perf.Sprint!$BG$4:$BG$40,MATCH(E5,Perf.Sprint!$B$4:$B$40,0)),"")</f>
        <v>3.1999999999999997</v>
      </c>
      <c r="K5" s="438">
        <f ca="1">IFERROR(SUM(I5+J5),"")</f>
        <v>8.6499999999999986</v>
      </c>
      <c r="L5" s="436">
        <f ca="1">IF(K5="","",ROUND($J$2/K5,1))</f>
        <v>6.9</v>
      </c>
      <c r="M5" s="439">
        <f ca="1">IF(K5="","",(L5*3600)/1000)</f>
        <v>24.84</v>
      </c>
      <c r="N5" s="440">
        <v>9.09</v>
      </c>
      <c r="O5" s="441">
        <f>IFERROR(IF(N5="","",ROUND($J$2/N5,1)),"")</f>
        <v>6.6</v>
      </c>
      <c r="P5" s="442">
        <f>IF(O5&lt;&gt;"",(O5*3600)/1000,"")</f>
        <v>23.76</v>
      </c>
      <c r="Q5" s="443" t="s">
        <v>209</v>
      </c>
      <c r="R5" s="444" t="s">
        <v>239</v>
      </c>
      <c r="S5" s="445" t="s">
        <v>239</v>
      </c>
      <c r="T5" s="445" t="s">
        <v>239</v>
      </c>
      <c r="U5" s="446" t="s">
        <v>239</v>
      </c>
      <c r="V5" s="447">
        <f>IF(COUNT(N4:N5)=2,SUM(N4:N5),"")</f>
        <v>18.149999999999999</v>
      </c>
      <c r="W5" s="448">
        <f ca="1">IF($V5="","",IF(OR(AND(C5="M",F5="F"),AND(C5="F",F5="M")),VLOOKUP($V5,INDIRECT("rel"),1),VLOOKUP($V5,INDIRECT(C5&amp;"rel"),1)))</f>
        <v>18</v>
      </c>
      <c r="X5" s="448">
        <f ca="1">IFERROR(IF(OR(AND(C5="M",F5="F"),AND(C5="F",F5="M")),INDEX(INDIRECT("rel"),MATCH($V5,INDIRECT("rel"))+1),INDEX(INDIRECT(C5&amp;"rel"),MATCH($V5,INDIRECT(C5&amp;"rel"))+1)),"")</f>
        <v>18.2</v>
      </c>
      <c r="Y5" s="448">
        <f ca="1">IF(X5="",W5,IF(V5=W5,W5,X5))</f>
        <v>18.2</v>
      </c>
      <c r="Z5" s="449">
        <f ca="1">IF(Y5="","",IF(OR(AND(C5="M",F5="F"),AND(C5="F",F5="M")),VLOOKUP(Y5,relais,3),IF(C5="F",VLOOKUP(Y5,relaisf,7),VLOOKUP(Y5,relaisg,5))))</f>
        <v>5.75</v>
      </c>
      <c r="AA5" s="450">
        <f ca="1">IFERROR(AVERAGE(Z4,Z5),"")</f>
        <v>5.75</v>
      </c>
      <c r="AB5" s="451">
        <f ca="1">IFERROR(IF(COUNT($N5)=1,ABS(($N5/K5)-1),""),"")</f>
        <v>5.0867052023121584E-2</v>
      </c>
      <c r="AC5" s="452">
        <f ca="1">IF($AB5&lt;&gt;"",INDEX(Barème!$AI$3:$AI$28,MATCH($AB5,Barème!$AH$3:$AH$28,-1)),"")</f>
        <v>4.25</v>
      </c>
      <c r="AD5" s="450">
        <f ca="1">IF(COUNT(AC4:AC5)&gt;1,AVERAGE(AC4,AC5),"")</f>
        <v>4.875</v>
      </c>
      <c r="AE5" s="453">
        <f>IFERROR(INDEX(Pts_Zone,MATCH(Q5,Zone,0)),"")</f>
        <v>4</v>
      </c>
      <c r="AF5" s="450">
        <f>IFERROR(AVERAGE(AE5,AE4),"")</f>
        <v>4</v>
      </c>
      <c r="AG5" s="432">
        <f t="shared" si="0"/>
        <v>1</v>
      </c>
      <c r="AH5" s="433">
        <f t="shared" si="1"/>
        <v>1</v>
      </c>
      <c r="AI5" s="434">
        <f t="shared" si="2"/>
        <v>2</v>
      </c>
      <c r="AJ5" s="450">
        <f>IF(COUNT(AG5:AH5,AI4)=3,MROUND(SUM(AG5,AH5,AI4),0.25),"")</f>
        <v>4</v>
      </c>
      <c r="AK5" s="450">
        <f>IFERROR((AF5/4)*3+(AJ5/4)*3,"")</f>
        <v>6</v>
      </c>
    </row>
    <row r="6" spans="1:37" ht="15.75" thickBot="1">
      <c r="A6" s="330">
        <v>2</v>
      </c>
      <c r="B6" s="394" t="s">
        <v>176</v>
      </c>
      <c r="C6" s="395" t="s">
        <v>134</v>
      </c>
      <c r="D6" s="396"/>
      <c r="E6" s="396" t="s">
        <v>177</v>
      </c>
      <c r="F6" s="396" t="s">
        <v>134</v>
      </c>
      <c r="G6" s="396"/>
      <c r="H6" s="399" t="s">
        <v>187</v>
      </c>
      <c r="I6" s="398">
        <v>36</v>
      </c>
      <c r="J6" s="398">
        <v>25</v>
      </c>
      <c r="K6" s="399" t="s">
        <v>178</v>
      </c>
      <c r="L6" s="400" t="s">
        <v>139</v>
      </c>
      <c r="M6" s="397" t="s">
        <v>140</v>
      </c>
      <c r="N6" s="401" t="s">
        <v>126</v>
      </c>
      <c r="O6" s="400" t="s">
        <v>139</v>
      </c>
      <c r="P6" s="402" t="s">
        <v>140</v>
      </c>
      <c r="Q6" s="403" t="s">
        <v>170</v>
      </c>
      <c r="R6" s="454" t="s">
        <v>180</v>
      </c>
      <c r="S6" s="455" t="s">
        <v>181</v>
      </c>
      <c r="T6" s="455" t="s">
        <v>182</v>
      </c>
      <c r="U6" s="456" t="s">
        <v>183</v>
      </c>
      <c r="V6" s="457"/>
      <c r="W6" s="458"/>
      <c r="X6" s="458"/>
      <c r="Y6" s="458"/>
      <c r="Z6" s="459"/>
      <c r="AA6" s="460"/>
      <c r="AB6" s="461" t="s">
        <v>188</v>
      </c>
      <c r="AC6" s="411"/>
      <c r="AD6" s="462"/>
      <c r="AE6" s="463"/>
      <c r="AF6" s="460"/>
      <c r="AG6" s="464" t="s">
        <v>180</v>
      </c>
      <c r="AH6" s="464" t="s">
        <v>152</v>
      </c>
      <c r="AI6" s="465" t="s">
        <v>163</v>
      </c>
      <c r="AJ6" s="457"/>
      <c r="AK6" s="462"/>
    </row>
    <row r="7" spans="1:37" ht="24" customHeight="1">
      <c r="A7" s="321" t="s">
        <v>127</v>
      </c>
      <c r="B7" s="466" t="str">
        <f ca="1">IFERROR('Compo.Relais(1)'!$AF5,"")</f>
        <v>K</v>
      </c>
      <c r="C7" s="413" t="str">
        <f ca="1">IF(B7&lt;&gt;"",INDEX(Perf.Sprint!$C$4:$C$41,MATCH(B7,Perf.Sprint!$B$4:$B$41,0)),"")</f>
        <v>M</v>
      </c>
      <c r="D7" s="413" t="s">
        <v>149</v>
      </c>
      <c r="E7" s="413" t="str">
        <f ca="1">IFERROR('Compo.Relais(1)'!$AH5,"")</f>
        <v>V</v>
      </c>
      <c r="F7" s="413" t="str">
        <f ca="1">IF(E7&lt;&gt;"",INDEX(Perf.Sprint!$C$4:$C$41,MATCH(E7,Perf.Sprint!$B$4:$B$41,0)),"")</f>
        <v>F</v>
      </c>
      <c r="G7" s="413" t="str">
        <f ca="1">CONCATENATE(C7,F7)</f>
        <v>MF</v>
      </c>
      <c r="H7" s="414"/>
      <c r="I7" s="415">
        <f ca="1">IF(B7&lt;&gt;0,INDEX(Perf.Sprint!$BJ$4:$BJ$40,MATCH(B7,Perf.Sprint!$B$4:$B$40,0)),"")</f>
        <v>5.4499999999999993</v>
      </c>
      <c r="J7" s="415">
        <f ca="1">IF(E7&lt;&gt;0,INDEX(Perf.Sprint!$BG$4:$BG$40,MATCH(E7,Perf.Sprint!$B$4:$B$40,0)),"")</f>
        <v>3.9</v>
      </c>
      <c r="K7" s="416">
        <f ca="1">IFERROR(SUM(I7+J7),"")</f>
        <v>9.35</v>
      </c>
      <c r="L7" s="413">
        <f ca="1">IF(K7="","",ROUND($J$2/K7,1))</f>
        <v>6.4</v>
      </c>
      <c r="M7" s="417">
        <f ca="1">IF(K7="","",(L7*3600)/1000)</f>
        <v>23.04</v>
      </c>
      <c r="N7" s="418">
        <v>9.6999999999999993</v>
      </c>
      <c r="O7" s="419">
        <f>IFERROR(IF(N7="","",ROUND($J$2/N7,1)),"")</f>
        <v>6.2</v>
      </c>
      <c r="P7" s="420">
        <f>IF(O7&lt;&gt;"",(O7*3600)/1000,"")</f>
        <v>22.32</v>
      </c>
      <c r="Q7" s="467" t="s">
        <v>209</v>
      </c>
      <c r="R7" s="422" t="s">
        <v>239</v>
      </c>
      <c r="S7" s="423" t="s">
        <v>239</v>
      </c>
      <c r="T7" s="423" t="s">
        <v>239</v>
      </c>
      <c r="U7" s="424" t="s">
        <v>239</v>
      </c>
      <c r="V7" s="425">
        <f>IF(COUNT(N7:N8)=2,SUM(N7:N8),"")</f>
        <v>20.329999999999998</v>
      </c>
      <c r="W7" s="426">
        <f ca="1">IF($V7="","",IF(OR(AND(C7="M",F7="F"),AND(C7="F",F7="M")),VLOOKUP($V7,INDIRECT("rel"),1),VLOOKUP($V7,INDIRECT(C7&amp;"rel"),1)))</f>
        <v>20.199999999999996</v>
      </c>
      <c r="X7" s="426">
        <f ca="1">IFERROR(IF(OR(AND(C7="M",F7="F"),AND(C7="F",F7="M")),INDEX(INDIRECT("rel"),MATCH($V7,INDIRECT("rel"))+1),INDEX(INDIRECT(C7&amp;"rel"),MATCH($V7,INDIRECT(C7&amp;"rel"))+1)),"")</f>
        <v>20.599999999999994</v>
      </c>
      <c r="Y7" s="426">
        <f ca="1">IF(X7="",W7,IF(V7=W7,W7,X7))</f>
        <v>20.599999999999994</v>
      </c>
      <c r="Z7" s="427">
        <f ca="1">IF(Y7="","",IF(OR(AND(C7="M",F7="F"),AND(C7="F",F7="M")),VLOOKUP(Y7,relais,3),IF(C7="F",VLOOKUP(Y7,relaisf,7),VLOOKUP(Y7,relaisg,5))))</f>
        <v>4.75</v>
      </c>
      <c r="AA7" s="428">
        <f ca="1">IFERROR(AVERAGE(Z7,Z8),"")</f>
        <v>4.75</v>
      </c>
      <c r="AB7" s="429">
        <f ca="1">IFERROR(IF(COUNT($N7)=1,ABS(($N7/K7)-1),""),"")</f>
        <v>3.7433155080213831E-2</v>
      </c>
      <c r="AC7" s="430">
        <f ca="1">IF($AB7&lt;&gt;"",INDEX(Barème!$AI$3:$AI$28,MATCH($AB7,Barème!$AH$3:$AH$28,-1)),"")</f>
        <v>5</v>
      </c>
      <c r="AD7" s="428">
        <f ca="1">IF(COUNT(AC7:AC8)&gt;1,AVERAGE(AC7,AC8),"")</f>
        <v>2.625</v>
      </c>
      <c r="AE7" s="431">
        <f t="shared" ref="AE7:AE9" si="3">IFERROR(INDEX(Pts_Zone,MATCH(Q7,Zone,0)),"")</f>
        <v>4</v>
      </c>
      <c r="AF7" s="428">
        <f>IFERROR(AVERAGE(AE7:AE8),"")</f>
        <v>4</v>
      </c>
      <c r="AG7" s="432">
        <f t="shared" ref="AG7:AG8" si="4">IF(COUNTA(R7)=1,COUNTIF(R7,"OUI"),"")</f>
        <v>1</v>
      </c>
      <c r="AH7" s="433">
        <f t="shared" ref="AH7:AH8" si="5">IF(COUNTA(U7)=1,COUNTIF(U7,"OUI"),"")</f>
        <v>1</v>
      </c>
      <c r="AI7" s="434">
        <f t="shared" ref="AI7:AI8" si="6">IF(COUNTA(S7:T7)=2,COUNTIF(S7:T7,"OUI"),"")</f>
        <v>2</v>
      </c>
      <c r="AJ7" s="428">
        <f t="shared" ref="AJ7" si="7">IF(COUNT(AG7:AH7,AI8)=3,MROUND(SUM(AG7,AH7,AI8),0.25),"")</f>
        <v>4</v>
      </c>
      <c r="AK7" s="428">
        <f t="shared" ref="AK7:AK8" si="8">IFERROR((AF7/4)*3+(AJ7/4)*3,"")</f>
        <v>6</v>
      </c>
    </row>
    <row r="8" spans="1:37" ht="24" customHeight="1" thickBot="1">
      <c r="A8" s="321" t="s">
        <v>128</v>
      </c>
      <c r="B8" s="468" t="str">
        <f ca="1">E7</f>
        <v>V</v>
      </c>
      <c r="C8" s="436" t="str">
        <f ca="1">IF(B8&lt;&gt;"",INDEX(Perf.Sprint!$C$4:$C$41,MATCH(B8,Perf.Sprint!$B$4:$B$41,0)),"")</f>
        <v>F</v>
      </c>
      <c r="D8" s="436" t="s">
        <v>149</v>
      </c>
      <c r="E8" s="436" t="str">
        <f ca="1">B7</f>
        <v>K</v>
      </c>
      <c r="F8" s="436" t="str">
        <f ca="1">IF(E8&lt;&gt;"",INDEX(Perf.Sprint!$C$4:$C$41,MATCH(E8,Perf.Sprint!$B$4:$B$41,0)),"")</f>
        <v>M</v>
      </c>
      <c r="G8" s="436" t="str">
        <f ca="1">CONCATENATE(F8,C8)</f>
        <v>MF</v>
      </c>
      <c r="H8" s="437"/>
      <c r="I8" s="438">
        <f ca="1">IF(B8&lt;&gt;0,INDEX(Perf.Sprint!$BJ$4:$BJ$40,MATCH(B8,Perf.Sprint!$B$4:$B$40,0)),"")</f>
        <v>6.5</v>
      </c>
      <c r="J8" s="438">
        <f ca="1">IF(E8&lt;&gt;0,INDEX(Perf.Sprint!$BG$4:$BG$40,MATCH(E8,Perf.Sprint!$B$4:$B$40,0)),"")</f>
        <v>3.1999999999999997</v>
      </c>
      <c r="K8" s="438">
        <f ca="1">IFERROR(SUM(I8+J8),"")</f>
        <v>9.6999999999999993</v>
      </c>
      <c r="L8" s="436">
        <f ca="1">IF(K8="","",ROUND($J$2/K8,1))</f>
        <v>6.2</v>
      </c>
      <c r="M8" s="439">
        <f ca="1">IF(K8="","",(L8*3600)/1000)</f>
        <v>22.32</v>
      </c>
      <c r="N8" s="440">
        <v>10.63</v>
      </c>
      <c r="O8" s="441">
        <f>IFERROR(IF(N8="","",ROUND($J$2/N8,1)),"")</f>
        <v>5.6</v>
      </c>
      <c r="P8" s="442">
        <f>IF(O8&lt;&gt;"",(O8*3600)/1000,"")</f>
        <v>20.16</v>
      </c>
      <c r="Q8" s="469" t="s">
        <v>209</v>
      </c>
      <c r="R8" s="444" t="s">
        <v>239</v>
      </c>
      <c r="S8" s="445" t="s">
        <v>239</v>
      </c>
      <c r="T8" s="445" t="s">
        <v>239</v>
      </c>
      <c r="U8" s="446" t="s">
        <v>239</v>
      </c>
      <c r="V8" s="447">
        <f>IF(COUNT(N7:N8)=2,SUM(N7:N8),"")</f>
        <v>20.329999999999998</v>
      </c>
      <c r="W8" s="448">
        <f ca="1">IF($V8="","",IF(OR(AND(C8="M",F8="F"),AND(C8="F",F8="M")),VLOOKUP($V8,INDIRECT("rel"),1),VLOOKUP($V8,INDIRECT(C8&amp;"rel"),1)))</f>
        <v>20.199999999999996</v>
      </c>
      <c r="X8" s="448">
        <f ca="1">IFERROR(IF(OR(AND(C8="M",F8="F"),AND(C8="F",F8="M")),INDEX(INDIRECT("rel"),MATCH($V8,INDIRECT("rel"))+1),INDEX(INDIRECT(C8&amp;"rel"),MATCH($V8,INDIRECT(C8&amp;"rel"))+1)),"")</f>
        <v>20.599999999999994</v>
      </c>
      <c r="Y8" s="448">
        <f ca="1">IF(X8="",W8,IF(V8=W8,W8,X8))</f>
        <v>20.599999999999994</v>
      </c>
      <c r="Z8" s="449">
        <f ca="1">IF(Y8="","",IF(OR(AND(C8="M",F8="F"),AND(C8="F",F8="M")),VLOOKUP(Y8,relais,3),IF(C8="F",VLOOKUP(Y8,relaisf,7),VLOOKUP(Y8,relaisg,5))))</f>
        <v>4.75</v>
      </c>
      <c r="AA8" s="450">
        <f ca="1">IFERROR(AVERAGE(Z7,Z8),"")</f>
        <v>4.75</v>
      </c>
      <c r="AB8" s="451">
        <f ca="1">IFERROR(IF(COUNT($N8)=1,ABS(($N8/K8)-1),""),"")</f>
        <v>9.5876288659793918E-2</v>
      </c>
      <c r="AC8" s="452">
        <f ca="1">IF($AB8&lt;&gt;"",INDEX(Barème!$AI$3:$AI$28,MATCH($AB8,Barème!$AH$3:$AH$28,-1)),"")</f>
        <v>0.25</v>
      </c>
      <c r="AD8" s="450">
        <f ca="1">IF(COUNT(AC7:AC8)&gt;1,AVERAGE(AC7,AC8),"")</f>
        <v>2.625</v>
      </c>
      <c r="AE8" s="453">
        <f t="shared" si="3"/>
        <v>4</v>
      </c>
      <c r="AF8" s="450">
        <f>IFERROR(AVERAGE(AE8,AE7),"")</f>
        <v>4</v>
      </c>
      <c r="AG8" s="432">
        <f t="shared" si="4"/>
        <v>1</v>
      </c>
      <c r="AH8" s="433">
        <f t="shared" si="5"/>
        <v>1</v>
      </c>
      <c r="AI8" s="434">
        <f t="shared" si="6"/>
        <v>2</v>
      </c>
      <c r="AJ8" s="450">
        <f t="shared" ref="AJ8" si="9">IF(COUNT(AG8:AH8,AI7)=3,MROUND(SUM(AG8,AH8,AI7),0.25),"")</f>
        <v>4</v>
      </c>
      <c r="AK8" s="450">
        <f t="shared" si="8"/>
        <v>6</v>
      </c>
    </row>
    <row r="9" spans="1:37" ht="15.75" thickBot="1">
      <c r="A9" s="330">
        <v>3</v>
      </c>
      <c r="B9" s="394" t="s">
        <v>176</v>
      </c>
      <c r="C9" s="395" t="s">
        <v>134</v>
      </c>
      <c r="D9" s="396"/>
      <c r="E9" s="396" t="s">
        <v>177</v>
      </c>
      <c r="F9" s="396" t="s">
        <v>134</v>
      </c>
      <c r="G9" s="396"/>
      <c r="H9" s="399" t="s">
        <v>187</v>
      </c>
      <c r="I9" s="398">
        <v>37</v>
      </c>
      <c r="J9" s="398">
        <v>25</v>
      </c>
      <c r="K9" s="399" t="s">
        <v>178</v>
      </c>
      <c r="L9" s="400" t="s">
        <v>139</v>
      </c>
      <c r="M9" s="397" t="s">
        <v>140</v>
      </c>
      <c r="N9" s="401" t="s">
        <v>126</v>
      </c>
      <c r="O9" s="400" t="s">
        <v>139</v>
      </c>
      <c r="P9" s="402" t="s">
        <v>140</v>
      </c>
      <c r="Q9" s="403" t="s">
        <v>170</v>
      </c>
      <c r="R9" s="454" t="s">
        <v>180</v>
      </c>
      <c r="S9" s="455" t="s">
        <v>181</v>
      </c>
      <c r="T9" s="455" t="s">
        <v>182</v>
      </c>
      <c r="U9" s="456" t="s">
        <v>183</v>
      </c>
      <c r="V9" s="457"/>
      <c r="W9" s="458"/>
      <c r="X9" s="458"/>
      <c r="Y9" s="458"/>
      <c r="Z9" s="459"/>
      <c r="AA9" s="460"/>
      <c r="AB9" s="470" t="s">
        <v>188</v>
      </c>
      <c r="AC9" s="411"/>
      <c r="AD9" s="462"/>
      <c r="AE9" s="463" t="str">
        <f t="shared" si="3"/>
        <v/>
      </c>
      <c r="AF9" s="460"/>
      <c r="AG9" s="464" t="s">
        <v>180</v>
      </c>
      <c r="AH9" s="464" t="s">
        <v>152</v>
      </c>
      <c r="AI9" s="465" t="s">
        <v>163</v>
      </c>
      <c r="AJ9" s="457"/>
      <c r="AK9" s="462"/>
    </row>
    <row r="10" spans="1:37" ht="24" customHeight="1">
      <c r="A10" s="321" t="s">
        <v>127</v>
      </c>
      <c r="B10" s="466" t="str">
        <f ca="1">IFERROR('Compo.Relais(1)'!$AF6,"")</f>
        <v>N</v>
      </c>
      <c r="C10" s="413" t="str">
        <f ca="1">IF(B10&lt;&gt;"",INDEX(Perf.Sprint!$C$4:$C$41,MATCH(B10,Perf.Sprint!$B$4:$B$41,0)),"")</f>
        <v>M</v>
      </c>
      <c r="D10" s="413" t="s">
        <v>149</v>
      </c>
      <c r="E10" s="413" t="str">
        <f ca="1">IFERROR('Compo.Relais(1)'!$AH6,"")</f>
        <v>O</v>
      </c>
      <c r="F10" s="413" t="str">
        <f ca="1">IF(E10&lt;&gt;"",INDEX(Perf.Sprint!$C$4:$C$41,MATCH(E10,Perf.Sprint!$B$4:$B$41,0)),"")</f>
        <v>F</v>
      </c>
      <c r="G10" s="413" t="str">
        <f ca="1">CONCATENATE(C10,F10)</f>
        <v>MF</v>
      </c>
      <c r="H10" s="414"/>
      <c r="I10" s="415">
        <f ca="1">IF(B10&lt;&gt;0,INDEX(Perf.Sprint!$BJ$4:$BJ$40,MATCH(B10,Perf.Sprint!$B$4:$B$40,0)),"")</f>
        <v>5.5500000000000007</v>
      </c>
      <c r="J10" s="415">
        <f ca="1">IF(E10&lt;&gt;0,INDEX(Perf.Sprint!$BG$4:$BG$40,MATCH(E10,Perf.Sprint!$B$4:$B$40,0)),"")</f>
        <v>4.0999999999999996</v>
      </c>
      <c r="K10" s="416">
        <f ca="1">IFERROR(SUM(I10+J10),"")</f>
        <v>9.65</v>
      </c>
      <c r="L10" s="413">
        <f ca="1">IF(K10="","",ROUND($J$2/K10,1))</f>
        <v>6.2</v>
      </c>
      <c r="M10" s="417">
        <f ca="1">IF(K10="","",(L10*3600)/1000)</f>
        <v>22.32</v>
      </c>
      <c r="N10" s="473">
        <v>11.86</v>
      </c>
      <c r="O10" s="419">
        <f>IFERROR(IF(N10="","",ROUND($J$2/N10,1)),"")</f>
        <v>5.0999999999999996</v>
      </c>
      <c r="P10" s="420">
        <f>IF(O10&lt;&gt;"",(O10*3600)/1000,"")</f>
        <v>18.36</v>
      </c>
      <c r="Q10" s="467" t="s">
        <v>209</v>
      </c>
      <c r="R10" s="422" t="s">
        <v>239</v>
      </c>
      <c r="S10" s="423" t="s">
        <v>238</v>
      </c>
      <c r="T10" s="423" t="s">
        <v>239</v>
      </c>
      <c r="U10" s="424" t="s">
        <v>239</v>
      </c>
      <c r="V10" s="425">
        <f>IF(COUNT(N10:N11)=2,SUM(N10:N11),"")</f>
        <v>23.67</v>
      </c>
      <c r="W10" s="426">
        <f ca="1">IF($V10="","",IF(OR(AND(C10="M",F10="F"),AND(C10="F",F10="M")),VLOOKUP($V10,INDIRECT("rel"),1),VLOOKUP($V10,INDIRECT(C10&amp;"rel"),1)))</f>
        <v>23.599999999999994</v>
      </c>
      <c r="X10" s="426">
        <f ca="1">IFERROR(IF(OR(AND(C10="M",F10="F"),AND(C10="F",F10="M")),INDEX(INDIRECT("rel"),MATCH($V10,INDIRECT("rel"))+1),INDEX(INDIRECT(C10&amp;"rel"),MATCH($V10,INDIRECT(C10&amp;"rel"))+1)),"")</f>
        <v>24.199999999999996</v>
      </c>
      <c r="Y10" s="426">
        <f ca="1">IF(X10="",W10,IF(V10=W10,W10,X10))</f>
        <v>24.199999999999996</v>
      </c>
      <c r="Z10" s="427">
        <f ca="1">IF(Y10="","",IF(OR(AND(C10="M",F10="F"),AND(C10="F",F10="M")),VLOOKUP(Y10,relais,3),IF(C10="F",VLOOKUP(Y10,relaisf,7),VLOOKUP(Y10,relaisg,5))))</f>
        <v>3</v>
      </c>
      <c r="AA10" s="428">
        <f t="shared" ref="AA10" ca="1" si="10">IFERROR(AVERAGE(Z10,Z11),"")</f>
        <v>3</v>
      </c>
      <c r="AB10" s="471">
        <f ca="1">IFERROR(IF(COUNT($N10)=1,($N10/K10)-1,""),"")</f>
        <v>0.22901554404145075</v>
      </c>
      <c r="AC10" s="430">
        <f ca="1">IF($AB10&lt;&gt;"",INDEX(Barème!$AI$3:$AI$28,MATCH($AB10,Barème!$AH$3:$AH$28,-1)),"")</f>
        <v>0</v>
      </c>
      <c r="AD10" s="428">
        <f t="shared" ref="AD10" ca="1" si="11">IF(COUNT(AC10:AC11)&gt;1,AVERAGE(AC10,AC11),"")</f>
        <v>0</v>
      </c>
      <c r="AE10" s="431">
        <f t="shared" ref="AE10:AE12" si="12">IFERROR(INDEX(Pts_Zone,MATCH(Q10,Zone,0)),"")</f>
        <v>4</v>
      </c>
      <c r="AF10" s="428">
        <f t="shared" ref="AF10" si="13">IFERROR(AVERAGE(AE10:AE11),"")</f>
        <v>3.5</v>
      </c>
      <c r="AG10" s="432">
        <f t="shared" ref="AG10:AG11" si="14">IF(COUNTA(R10)=1,COUNTIF(R10,"OUI"),"")</f>
        <v>1</v>
      </c>
      <c r="AH10" s="433">
        <f t="shared" ref="AH10:AH11" si="15">IF(COUNTA(U10)=1,COUNTIF(U10,"OUI"),"")</f>
        <v>1</v>
      </c>
      <c r="AI10" s="434">
        <f t="shared" ref="AI10:AI11" si="16">IF(COUNTA(S10:T10)=2,COUNTIF(S10:T10,"OUI"),"")</f>
        <v>1</v>
      </c>
      <c r="AJ10" s="428">
        <f t="shared" ref="AJ10" si="17">IF(COUNT(AG10:AH10,AI11)=3,MROUND(SUM(AG10,AH10,AI11),0.25),"")</f>
        <v>4</v>
      </c>
      <c r="AK10" s="428">
        <f t="shared" ref="AK10:AK11" si="18">IFERROR((AF10/4)*3+(AJ10/4)*3,"")</f>
        <v>5.625</v>
      </c>
    </row>
    <row r="11" spans="1:37" ht="24" customHeight="1" thickBot="1">
      <c r="A11" s="321" t="s">
        <v>128</v>
      </c>
      <c r="B11" s="468" t="str">
        <f ca="1">E10</f>
        <v>O</v>
      </c>
      <c r="C11" s="436" t="str">
        <f ca="1">IF(B11&lt;&gt;"",INDEX(Perf.Sprint!$C$4:$C$41,MATCH(B11,Perf.Sprint!$B$4:$B$41,0)),"")</f>
        <v>F</v>
      </c>
      <c r="D11" s="436" t="s">
        <v>149</v>
      </c>
      <c r="E11" s="436" t="str">
        <f ca="1">B10</f>
        <v>N</v>
      </c>
      <c r="F11" s="436" t="str">
        <f ca="1">IF(E11&lt;&gt;"",INDEX(Perf.Sprint!$C$4:$C$41,MATCH(E11,Perf.Sprint!$B$4:$B$41,0)),"")</f>
        <v>M</v>
      </c>
      <c r="G11" s="436" t="str">
        <f ca="1">CONCATENATE(F11,C11)</f>
        <v>MF</v>
      </c>
      <c r="H11" s="437"/>
      <c r="I11" s="438">
        <f ca="1">IF(B11&lt;&gt;0,INDEX(Perf.Sprint!$BJ$4:$BJ$40,MATCH(B11,Perf.Sprint!$B$4:$B$40,0)),"")</f>
        <v>6.75</v>
      </c>
      <c r="J11" s="438">
        <f ca="1">IF(E11&lt;&gt;0,INDEX(Perf.Sprint!$BG$4:$BG$40,MATCH(E11,Perf.Sprint!$B$4:$B$40,0)),"")</f>
        <v>3.3000000000000003</v>
      </c>
      <c r="K11" s="438">
        <f ca="1">IFERROR(SUM(I11+J11),"")</f>
        <v>10.050000000000001</v>
      </c>
      <c r="L11" s="436">
        <f ca="1">IF(K11="","",ROUND($J$2/K11,1))</f>
        <v>6</v>
      </c>
      <c r="M11" s="439">
        <f ca="1">IF(K11="","",(L11*3600)/1000)</f>
        <v>21.6</v>
      </c>
      <c r="N11" s="474">
        <v>11.81</v>
      </c>
      <c r="O11" s="441">
        <f>IFERROR(IF(N11="","",ROUND($J$2/N11,1)),"")</f>
        <v>5.0999999999999996</v>
      </c>
      <c r="P11" s="442">
        <f>IF(O11&lt;&gt;"",(O11*3600)/1000,"")</f>
        <v>18.36</v>
      </c>
      <c r="Q11" s="469" t="s">
        <v>36</v>
      </c>
      <c r="R11" s="444" t="s">
        <v>239</v>
      </c>
      <c r="S11" s="445" t="s">
        <v>239</v>
      </c>
      <c r="T11" s="445" t="s">
        <v>239</v>
      </c>
      <c r="U11" s="446" t="s">
        <v>239</v>
      </c>
      <c r="V11" s="447">
        <f>IF(COUNT(N10:N11)=2,SUM(N10:N11),"")</f>
        <v>23.67</v>
      </c>
      <c r="W11" s="448">
        <f ca="1">IF($V11="","",IF(OR(AND(C11="M",F11="F"),AND(C11="F",F11="M")),VLOOKUP($V11,INDIRECT("rel"),1),VLOOKUP($V11,INDIRECT(C11&amp;"rel"),1)))</f>
        <v>23.599999999999994</v>
      </c>
      <c r="X11" s="448">
        <f ca="1">IFERROR(IF(OR(AND(C11="M",F11="F"),AND(C11="F",F11="M")),INDEX(INDIRECT("rel"),MATCH($V11,INDIRECT("rel"))+1),INDEX(INDIRECT(C11&amp;"rel"),MATCH($V11,INDIRECT(C11&amp;"rel"))+1)),"")</f>
        <v>24.199999999999996</v>
      </c>
      <c r="Y11" s="448">
        <f ca="1">IF(X11="",W11,IF(V11=W11,W11,X11))</f>
        <v>24.199999999999996</v>
      </c>
      <c r="Z11" s="449">
        <f ca="1">IF(Y11="","",IF(OR(AND(C11="M",F11="F"),AND(C11="F",F11="M")),VLOOKUP(Y11,relais,3),IF(C11="F",VLOOKUP(Y11,relaisf,7),VLOOKUP(Y11,relaisg,5))))</f>
        <v>3</v>
      </c>
      <c r="AA11" s="450">
        <f t="shared" ref="AA11" ca="1" si="19">IFERROR(AVERAGE(Z10,Z11),"")</f>
        <v>3</v>
      </c>
      <c r="AB11" s="472">
        <f ca="1">IFERROR(IF(COUNT($N11)=1,($N11/K11)-1,""),"")</f>
        <v>0.17512437810945269</v>
      </c>
      <c r="AC11" s="452">
        <f ca="1">IF($AB11&lt;&gt;"",INDEX(Barème!$AI$3:$AI$28,MATCH($AB11,Barème!$AH$3:$AH$28,-1)),"")</f>
        <v>0</v>
      </c>
      <c r="AD11" s="450">
        <f t="shared" ref="AD11" ca="1" si="20">IF(COUNT(AC10:AC11)&gt;1,AVERAGE(AC10,AC11),"")</f>
        <v>0</v>
      </c>
      <c r="AE11" s="453">
        <f t="shared" si="12"/>
        <v>3</v>
      </c>
      <c r="AF11" s="450">
        <f t="shared" ref="AF11" si="21">IFERROR(AVERAGE(AE11,AE10),"")</f>
        <v>3.5</v>
      </c>
      <c r="AG11" s="432">
        <f t="shared" si="14"/>
        <v>1</v>
      </c>
      <c r="AH11" s="433">
        <f t="shared" si="15"/>
        <v>1</v>
      </c>
      <c r="AI11" s="434">
        <f t="shared" si="16"/>
        <v>2</v>
      </c>
      <c r="AJ11" s="450">
        <f t="shared" ref="AJ11" si="22">IF(COUNT(AG11:AH11,AI10)=3,MROUND(SUM(AG11,AH11,AI10),0.25),"")</f>
        <v>3</v>
      </c>
      <c r="AK11" s="450">
        <f t="shared" si="18"/>
        <v>4.875</v>
      </c>
    </row>
    <row r="12" spans="1:37" ht="15.75" thickBot="1">
      <c r="A12" s="330">
        <v>4</v>
      </c>
      <c r="B12" s="394" t="s">
        <v>176</v>
      </c>
      <c r="C12" s="395" t="s">
        <v>134</v>
      </c>
      <c r="D12" s="396"/>
      <c r="E12" s="396" t="s">
        <v>177</v>
      </c>
      <c r="F12" s="396" t="s">
        <v>134</v>
      </c>
      <c r="G12" s="396"/>
      <c r="H12" s="399" t="s">
        <v>187</v>
      </c>
      <c r="I12" s="398">
        <v>38</v>
      </c>
      <c r="J12" s="398">
        <v>25</v>
      </c>
      <c r="K12" s="399" t="s">
        <v>178</v>
      </c>
      <c r="L12" s="400" t="s">
        <v>139</v>
      </c>
      <c r="M12" s="397" t="s">
        <v>140</v>
      </c>
      <c r="N12" s="401" t="s">
        <v>126</v>
      </c>
      <c r="O12" s="400" t="s">
        <v>139</v>
      </c>
      <c r="P12" s="402" t="s">
        <v>140</v>
      </c>
      <c r="Q12" s="403" t="s">
        <v>170</v>
      </c>
      <c r="R12" s="454" t="s">
        <v>180</v>
      </c>
      <c r="S12" s="455" t="s">
        <v>181</v>
      </c>
      <c r="T12" s="455" t="s">
        <v>182</v>
      </c>
      <c r="U12" s="456" t="s">
        <v>183</v>
      </c>
      <c r="V12" s="457"/>
      <c r="W12" s="458"/>
      <c r="X12" s="458"/>
      <c r="Y12" s="458"/>
      <c r="Z12" s="459"/>
      <c r="AA12" s="460"/>
      <c r="AB12" s="470" t="s">
        <v>188</v>
      </c>
      <c r="AC12" s="411"/>
      <c r="AD12" s="462"/>
      <c r="AE12" s="463" t="str">
        <f t="shared" si="12"/>
        <v/>
      </c>
      <c r="AF12" s="460"/>
      <c r="AG12" s="464" t="s">
        <v>180</v>
      </c>
      <c r="AH12" s="464" t="s">
        <v>152</v>
      </c>
      <c r="AI12" s="465" t="s">
        <v>163</v>
      </c>
      <c r="AJ12" s="457"/>
      <c r="AK12" s="462"/>
    </row>
    <row r="13" spans="1:37" ht="24" customHeight="1">
      <c r="A13" s="321" t="s">
        <v>127</v>
      </c>
      <c r="B13" s="466" t="str">
        <f ca="1">IFERROR('Compo.Relais(1)'!$AF7,"")</f>
        <v>G</v>
      </c>
      <c r="C13" s="413" t="str">
        <f ca="1">IF(B13&lt;&gt;"",INDEX(Perf.Sprint!$C$4:$C$41,MATCH(B13,Perf.Sprint!$B$4:$B$41,0)),"")</f>
        <v>M</v>
      </c>
      <c r="D13" s="413" t="s">
        <v>149</v>
      </c>
      <c r="E13" s="413" t="str">
        <f ca="1">IFERROR('Compo.Relais(1)'!$AH7,"")</f>
        <v xml:space="preserve">J </v>
      </c>
      <c r="F13" s="413" t="str">
        <f ca="1">IF(E13&lt;&gt;"",INDEX(Perf.Sprint!$C$4:$C$41,MATCH(E13,Perf.Sprint!$B$4:$B$41,0)),"")</f>
        <v>M</v>
      </c>
      <c r="G13" s="413" t="str">
        <f ca="1">CONCATENATE(C13,F13)</f>
        <v>MM</v>
      </c>
      <c r="H13" s="414"/>
      <c r="I13" s="415">
        <f ca="1">IF(B13&lt;&gt;0,INDEX(Perf.Sprint!$BJ$4:$BJ$40,MATCH(B13,Perf.Sprint!$B$4:$B$40,0)),"")</f>
        <v>5.8</v>
      </c>
      <c r="J13" s="415">
        <f ca="1">IF(E13&lt;&gt;0,INDEX(Perf.Sprint!$BG$4:$BG$40,MATCH(E13,Perf.Sprint!$B$4:$B$40,0)),"")</f>
        <v>4.1000000000000005</v>
      </c>
      <c r="K13" s="416">
        <f ca="1">IFERROR(SUM(I13+J13),"")</f>
        <v>9.9</v>
      </c>
      <c r="L13" s="413">
        <f ca="1">IF(K13="","",ROUND($J$2/K13,1))</f>
        <v>6.1</v>
      </c>
      <c r="M13" s="417">
        <f ca="1">IF(K13="","",(L13*3600)/1000)</f>
        <v>21.96</v>
      </c>
      <c r="N13" s="418">
        <v>11.61</v>
      </c>
      <c r="O13" s="419">
        <f>IFERROR(IF(N13="","",ROUND($J$2/N13,1)),"")</f>
        <v>5.2</v>
      </c>
      <c r="P13" s="420">
        <f>IF(O13&lt;&gt;"",(O13*3600)/1000,"")</f>
        <v>18.72</v>
      </c>
      <c r="Q13" s="467" t="s">
        <v>209</v>
      </c>
      <c r="R13" s="422" t="s">
        <v>239</v>
      </c>
      <c r="S13" s="423" t="s">
        <v>239</v>
      </c>
      <c r="T13" s="423" t="s">
        <v>239</v>
      </c>
      <c r="U13" s="424" t="s">
        <v>239</v>
      </c>
      <c r="V13" s="425">
        <f>IF(COUNT(N13:N14)=2,SUM(N13:N14),"")</f>
        <v>23.16</v>
      </c>
      <c r="W13" s="426">
        <f ca="1">IF($V13="","",IF(OR(AND(C13="M",F13="F"),AND(C13="F",F13="M")),VLOOKUP($V13,INDIRECT("rel"),1),VLOOKUP($V13,INDIRECT(C13&amp;"rel"),1)))</f>
        <v>22.799999999999997</v>
      </c>
      <c r="X13" s="426">
        <f ca="1">IFERROR(IF(OR(AND(C13="M",F13="F"),AND(C13="F",F13="M")),INDEX(INDIRECT("rel"),MATCH($V13,INDIRECT("rel"))+1),INDEX(INDIRECT(C13&amp;"rel"),MATCH($V13,INDIRECT(C13&amp;"rel"))+1)),"")</f>
        <v>23.599999999999998</v>
      </c>
      <c r="Y13" s="426">
        <f ca="1">IF(X13="",W13,IF(V13=W13,W13,X13))</f>
        <v>23.599999999999998</v>
      </c>
      <c r="Z13" s="427">
        <f ca="1">IF(Y13="","",IF(OR(AND(C13="M",F13="F"),AND(C13="F",F13="M")),VLOOKUP(Y13,relais,3),IF(C13="F",VLOOKUP(Y13,relaisf,7),VLOOKUP(Y13,relaisg,5))))</f>
        <v>2.75</v>
      </c>
      <c r="AA13" s="428">
        <f t="shared" ref="AA13" ca="1" si="23">IFERROR(AVERAGE(Z13,Z14),"")</f>
        <v>2.75</v>
      </c>
      <c r="AB13" s="471">
        <f ca="1">IFERROR(IF(COUNT($N13)=1,($N13/K13)-1,""),"")</f>
        <v>0.17272727272727262</v>
      </c>
      <c r="AC13" s="430">
        <f ca="1">IF($AB13&lt;&gt;"",INDEX(Barème!$AI$3:$AI$28,MATCH($AB13,Barème!$AH$3:$AH$28,-1)),"")</f>
        <v>0</v>
      </c>
      <c r="AD13" s="428">
        <f t="shared" ref="AD13" ca="1" si="24">IF(COUNT(AC13:AC14)&gt;1,AVERAGE(AC13,AC14),"")</f>
        <v>0</v>
      </c>
      <c r="AE13" s="431">
        <f t="shared" ref="AE13:AE38" si="25">IFERROR(INDEX(Pts_Zone,MATCH(Q13,Zone,0)),"")</f>
        <v>4</v>
      </c>
      <c r="AF13" s="428">
        <f t="shared" ref="AF13" si="26">IFERROR(AVERAGE(AE13:AE14),"")</f>
        <v>2.5</v>
      </c>
      <c r="AG13" s="432">
        <f t="shared" ref="AG13:AG14" si="27">IF(COUNTA(R13)=1,COUNTIF(R13,"OUI"),"")</f>
        <v>1</v>
      </c>
      <c r="AH13" s="433">
        <f t="shared" ref="AH13:AH14" si="28">IF(COUNTA(U13)=1,COUNTIF(U13,"OUI"),"")</f>
        <v>1</v>
      </c>
      <c r="AI13" s="434">
        <f t="shared" ref="AI13:AI14" si="29">IF(COUNTA(S13:T13)=2,COUNTIF(S13:T13,"OUI"),"")</f>
        <v>2</v>
      </c>
      <c r="AJ13" s="428">
        <f t="shared" ref="AJ13" si="30">IF(COUNT(AG13:AH13,AI14)=3,MROUND(SUM(AG13,AH13,AI14),0.25),"")</f>
        <v>4</v>
      </c>
      <c r="AK13" s="428">
        <f t="shared" ref="AK13:AK14" si="31">IFERROR((AF13/4)*3+(AJ13/4)*3,"")</f>
        <v>4.875</v>
      </c>
    </row>
    <row r="14" spans="1:37" ht="24" customHeight="1" thickBot="1">
      <c r="A14" s="321" t="s">
        <v>128</v>
      </c>
      <c r="B14" s="468" t="str">
        <f ca="1">E13</f>
        <v xml:space="preserve">J </v>
      </c>
      <c r="C14" s="436" t="str">
        <f ca="1">IF(B14&lt;&gt;"",INDEX(Perf.Sprint!$C$4:$C$41,MATCH(B14,Perf.Sprint!$B$4:$B$41,0)),"")</f>
        <v>M</v>
      </c>
      <c r="D14" s="436" t="s">
        <v>149</v>
      </c>
      <c r="E14" s="436" t="str">
        <f ca="1">B13</f>
        <v>G</v>
      </c>
      <c r="F14" s="436" t="str">
        <f ca="1">IF(E14&lt;&gt;"",INDEX(Perf.Sprint!$C$4:$C$41,MATCH(E14,Perf.Sprint!$B$4:$B$41,0)),"")</f>
        <v>M</v>
      </c>
      <c r="G14" s="436" t="str">
        <f ca="1">CONCATENATE(F14,C14)</f>
        <v>MM</v>
      </c>
      <c r="H14" s="437"/>
      <c r="I14" s="438">
        <f ca="1">IF(B14&lt;&gt;0,INDEX(Perf.Sprint!$BJ$4:$BJ$40,MATCH(B14,Perf.Sprint!$B$4:$B$40,0)),"")</f>
        <v>6.6</v>
      </c>
      <c r="J14" s="438">
        <f ca="1">IF(E14&lt;&gt;0,INDEX(Perf.Sprint!$BG$4:$BG$40,MATCH(E14,Perf.Sprint!$B$4:$B$40,0)),"")</f>
        <v>3.5</v>
      </c>
      <c r="K14" s="438">
        <f ca="1">IFERROR(SUM(I14+J14),"")</f>
        <v>10.1</v>
      </c>
      <c r="L14" s="436">
        <f ca="1">IF(K14="","",ROUND($J$2/K14,1))</f>
        <v>5.9</v>
      </c>
      <c r="M14" s="439">
        <f ca="1">IF(K14="","",(L14*3600)/1000)</f>
        <v>21.24</v>
      </c>
      <c r="N14" s="440">
        <v>11.55</v>
      </c>
      <c r="O14" s="441">
        <f>IFERROR(IF(N14="","",ROUND($J$2/N14,1)),"")</f>
        <v>5.2</v>
      </c>
      <c r="P14" s="442">
        <f>IF(O14&lt;&gt;"",(O14*3600)/1000,"")</f>
        <v>18.72</v>
      </c>
      <c r="Q14" s="469" t="s">
        <v>39</v>
      </c>
      <c r="R14" s="444" t="s">
        <v>239</v>
      </c>
      <c r="S14" s="445" t="s">
        <v>239</v>
      </c>
      <c r="T14" s="445" t="s">
        <v>239</v>
      </c>
      <c r="U14" s="446" t="s">
        <v>239</v>
      </c>
      <c r="V14" s="447">
        <f>IF(COUNT(N13:N14)=2,SUM(N13:N14),"")</f>
        <v>23.16</v>
      </c>
      <c r="W14" s="448">
        <f ca="1">IF($V14="","",IF(OR(AND(C14="M",F14="F"),AND(C14="F",F14="M")),VLOOKUP($V14,INDIRECT("rel"),1),VLOOKUP($V14,INDIRECT(C14&amp;"rel"),1)))</f>
        <v>22.799999999999997</v>
      </c>
      <c r="X14" s="448">
        <f ca="1">IFERROR(IF(OR(AND(C14="M",F14="F"),AND(C14="F",F14="M")),INDEX(INDIRECT("rel"),MATCH($V14,INDIRECT("rel"))+1),INDEX(INDIRECT(C14&amp;"rel"),MATCH($V14,INDIRECT(C14&amp;"rel"))+1)),"")</f>
        <v>23.599999999999998</v>
      </c>
      <c r="Y14" s="448">
        <f ca="1">IF(X14="",W14,IF(V14=W14,W14,X14))</f>
        <v>23.599999999999998</v>
      </c>
      <c r="Z14" s="449">
        <f ca="1">IF(Y14="","",IF(OR(AND(C14="M",F14="F"),AND(C14="F",F14="M")),VLOOKUP(Y14,relais,3),IF(C14="F",VLOOKUP(Y14,relaisf,7),VLOOKUP(Y14,relaisg,5))))</f>
        <v>2.75</v>
      </c>
      <c r="AA14" s="450">
        <f t="shared" ref="AA14" ca="1" si="32">IFERROR(AVERAGE(Z13,Z14),"")</f>
        <v>2.75</v>
      </c>
      <c r="AB14" s="472">
        <f ca="1">IFERROR(IF(COUNT($N14)=1,($N14/K14)-1,""),"")</f>
        <v>0.14356435643564369</v>
      </c>
      <c r="AC14" s="452">
        <f ca="1">IF($AB14&lt;&gt;"",INDEX(Barème!$AI$3:$AI$28,MATCH($AB14,Barème!$AH$3:$AH$28,-1)),"")</f>
        <v>0</v>
      </c>
      <c r="AD14" s="450">
        <f t="shared" ref="AD14" ca="1" si="33">IF(COUNT(AC13:AC14)&gt;1,AVERAGE(AC13,AC14),"")</f>
        <v>0</v>
      </c>
      <c r="AE14" s="453">
        <f t="shared" si="25"/>
        <v>1</v>
      </c>
      <c r="AF14" s="450">
        <f t="shared" ref="AF14" si="34">IFERROR(AVERAGE(AE14,AE13),"")</f>
        <v>2.5</v>
      </c>
      <c r="AG14" s="432">
        <f t="shared" si="27"/>
        <v>1</v>
      </c>
      <c r="AH14" s="433">
        <f t="shared" si="28"/>
        <v>1</v>
      </c>
      <c r="AI14" s="434">
        <f t="shared" si="29"/>
        <v>2</v>
      </c>
      <c r="AJ14" s="450">
        <f t="shared" ref="AJ14" si="35">IF(COUNT(AG14:AH14,AI13)=3,MROUND(SUM(AG14,AH14,AI13),0.25),"")</f>
        <v>4</v>
      </c>
      <c r="AK14" s="450">
        <f t="shared" si="31"/>
        <v>4.875</v>
      </c>
    </row>
    <row r="15" spans="1:37" ht="15.75" thickBot="1">
      <c r="A15" s="330">
        <v>5</v>
      </c>
      <c r="B15" s="394" t="s">
        <v>176</v>
      </c>
      <c r="C15" s="395" t="s">
        <v>134</v>
      </c>
      <c r="D15" s="396"/>
      <c r="E15" s="396" t="s">
        <v>177</v>
      </c>
      <c r="F15" s="396" t="s">
        <v>134</v>
      </c>
      <c r="G15" s="396"/>
      <c r="H15" s="399" t="s">
        <v>187</v>
      </c>
      <c r="I15" s="398">
        <v>39</v>
      </c>
      <c r="J15" s="398">
        <v>25</v>
      </c>
      <c r="K15" s="399" t="s">
        <v>178</v>
      </c>
      <c r="L15" s="400" t="s">
        <v>139</v>
      </c>
      <c r="M15" s="397" t="s">
        <v>140</v>
      </c>
      <c r="N15" s="401" t="s">
        <v>126</v>
      </c>
      <c r="O15" s="400" t="s">
        <v>139</v>
      </c>
      <c r="P15" s="402" t="s">
        <v>140</v>
      </c>
      <c r="Q15" s="403" t="s">
        <v>170</v>
      </c>
      <c r="R15" s="454" t="s">
        <v>180</v>
      </c>
      <c r="S15" s="455" t="s">
        <v>181</v>
      </c>
      <c r="T15" s="455" t="s">
        <v>182</v>
      </c>
      <c r="U15" s="456" t="s">
        <v>183</v>
      </c>
      <c r="V15" s="457"/>
      <c r="W15" s="458"/>
      <c r="X15" s="458"/>
      <c r="Y15" s="458"/>
      <c r="Z15" s="459"/>
      <c r="AA15" s="460"/>
      <c r="AB15" s="470" t="s">
        <v>188</v>
      </c>
      <c r="AC15" s="411"/>
      <c r="AD15" s="462"/>
      <c r="AE15" s="463" t="str">
        <f t="shared" si="25"/>
        <v/>
      </c>
      <c r="AF15" s="460"/>
      <c r="AG15" s="464" t="s">
        <v>180</v>
      </c>
      <c r="AH15" s="464" t="s">
        <v>152</v>
      </c>
      <c r="AI15" s="465" t="s">
        <v>163</v>
      </c>
      <c r="AJ15" s="457"/>
      <c r="AK15" s="462"/>
    </row>
    <row r="16" spans="1:37" ht="24" customHeight="1">
      <c r="A16" s="321" t="s">
        <v>127</v>
      </c>
      <c r="B16" s="466" t="str">
        <f ca="1">IFERROR('Compo.Relais(1)'!$AF8,"")</f>
        <v>H</v>
      </c>
      <c r="C16" s="413" t="str">
        <f ca="1">IF(B16&lt;&gt;"",INDEX(Perf.Sprint!$C$4:$C$41,MATCH(B16,Perf.Sprint!$B$4:$B$41,0)),"")</f>
        <v>F</v>
      </c>
      <c r="D16" s="413" t="s">
        <v>149</v>
      </c>
      <c r="E16" s="413" t="str">
        <f ca="1">IFERROR('Compo.Relais(1)'!$AH8,"")</f>
        <v>Q</v>
      </c>
      <c r="F16" s="413" t="str">
        <f ca="1">IF(E16&lt;&gt;"",INDEX(Perf.Sprint!$C$4:$C$41,MATCH(E16,Perf.Sprint!$B$4:$B$41,0)),"")</f>
        <v>F</v>
      </c>
      <c r="G16" s="413" t="str">
        <f ca="1">CONCATENATE(C16,F16)</f>
        <v>FF</v>
      </c>
      <c r="H16" s="414"/>
      <c r="I16" s="415">
        <f ca="1">IF(B16&lt;&gt;0,INDEX(Perf.Sprint!$BJ$4:$BJ$40,MATCH(B16,Perf.Sprint!$B$4:$B$40,0)),"")</f>
        <v>6.5500000000000007</v>
      </c>
      <c r="J16" s="415">
        <f ca="1">IF(E16&lt;&gt;0,INDEX(Perf.Sprint!$BG$4:$BG$40,MATCH(E16,Perf.Sprint!$B$4:$B$40,0)),"")</f>
        <v>3.7</v>
      </c>
      <c r="K16" s="416">
        <f ca="1">IFERROR(SUM(I16+J16),"")</f>
        <v>10.25</v>
      </c>
      <c r="L16" s="413">
        <f ca="1">IF(K16="","",ROUND($J$2/K16,1))</f>
        <v>5.9</v>
      </c>
      <c r="M16" s="417">
        <f ca="1">IF(K16="","",(L16*3600)/1000)</f>
        <v>21.24</v>
      </c>
      <c r="N16" s="473">
        <v>11.47</v>
      </c>
      <c r="O16" s="419">
        <f>IFERROR(IF(N16="","",ROUND($J$2/N16,1)),"")</f>
        <v>5.2</v>
      </c>
      <c r="P16" s="420">
        <f>IF(O16&lt;&gt;"",(O16*3600)/1000,"")</f>
        <v>18.72</v>
      </c>
      <c r="Q16" s="467" t="s">
        <v>39</v>
      </c>
      <c r="R16" s="422" t="s">
        <v>238</v>
      </c>
      <c r="S16" s="423" t="s">
        <v>239</v>
      </c>
      <c r="T16" s="423" t="s">
        <v>239</v>
      </c>
      <c r="U16" s="424" t="s">
        <v>239</v>
      </c>
      <c r="V16" s="425">
        <f>IF(COUNT(N16:N17)=2,SUM(N16:N17),"")</f>
        <v>22.57</v>
      </c>
      <c r="W16" s="426">
        <f ca="1">IF($V16="","",IF(OR(AND(C16="M",F16="F"),AND(C16="F",F16="M")),VLOOKUP($V16,INDIRECT("rel"),1),VLOOKUP($V16,INDIRECT(C16&amp;"rel"),1)))</f>
        <v>22.399999999999995</v>
      </c>
      <c r="X16" s="426">
        <f ca="1">IFERROR(IF(OR(AND(C16="M",F16="F"),AND(C16="F",F16="M")),INDEX(INDIRECT("rel"),MATCH($V16,INDIRECT("rel"))+1),INDEX(INDIRECT(C16&amp;"rel"),MATCH($V16,INDIRECT(C16&amp;"rel"))+1)),"")</f>
        <v>22.799999999999994</v>
      </c>
      <c r="Y16" s="426">
        <f ca="1">IF(X16="",W16,IF(V16=W16,W16,X16))</f>
        <v>22.799999999999994</v>
      </c>
      <c r="Z16" s="427">
        <f ca="1">IF(Y16="","",IF(OR(AND(C16="M",F16="F"),AND(C16="F",F16="M")),VLOOKUP(Y16,relais,3),IF(C16="F",VLOOKUP(Y16,relaisf,7),VLOOKUP(Y16,relaisg,5))))</f>
        <v>4.25</v>
      </c>
      <c r="AA16" s="428">
        <f t="shared" ref="AA16" ca="1" si="36">IFERROR(AVERAGE(Z16,Z17),"")</f>
        <v>4.25</v>
      </c>
      <c r="AB16" s="471">
        <f ca="1">IFERROR(IF(COUNT($N16)=1,($N16/K16)-1,""),"")</f>
        <v>0.11902439024390254</v>
      </c>
      <c r="AC16" s="430">
        <f ca="1">IF($AB16&lt;&gt;"",INDEX(Barème!$AI$3:$AI$28,MATCH($AB16,Barème!$AH$3:$AH$28,-1)),"")</f>
        <v>0</v>
      </c>
      <c r="AD16" s="428">
        <f t="shared" ref="AD16" ca="1" si="37">IF(COUNT(AC16:AC17)&gt;1,AVERAGE(AC16,AC17),"")</f>
        <v>0.75</v>
      </c>
      <c r="AE16" s="431">
        <f t="shared" si="25"/>
        <v>1</v>
      </c>
      <c r="AF16" s="428">
        <f t="shared" ref="AF16" si="38">IFERROR(AVERAGE(AE16:AE17),"")</f>
        <v>1</v>
      </c>
      <c r="AG16" s="432">
        <f t="shared" ref="AG16:AG17" si="39">IF(COUNTA(R16)=1,COUNTIF(R16,"OUI"),"")</f>
        <v>0</v>
      </c>
      <c r="AH16" s="433">
        <f t="shared" ref="AH16:AH17" si="40">IF(COUNTA(U16)=1,COUNTIF(U16,"OUI"),"")</f>
        <v>1</v>
      </c>
      <c r="AI16" s="434">
        <f t="shared" ref="AI16:AI17" si="41">IF(COUNTA(S16:T16)=2,COUNTIF(S16:T16,"OUI"),"")</f>
        <v>2</v>
      </c>
      <c r="AJ16" s="428">
        <f t="shared" ref="AJ16" si="42">IF(COUNT(AG16:AH16,AI17)=3,MROUND(SUM(AG16,AH16,AI17),0.25),"")</f>
        <v>3</v>
      </c>
      <c r="AK16" s="428">
        <f t="shared" ref="AK16:AK17" si="43">IFERROR((AF16/4)*3+(AJ16/4)*3,"")</f>
        <v>3</v>
      </c>
    </row>
    <row r="17" spans="1:37" ht="24" customHeight="1" thickBot="1">
      <c r="A17" s="321" t="s">
        <v>128</v>
      </c>
      <c r="B17" s="468" t="str">
        <f ca="1">E16</f>
        <v>Q</v>
      </c>
      <c r="C17" s="436" t="str">
        <f ca="1">IF(B17&lt;&gt;"",INDEX(Perf.Sprint!$C$4:$C$41,MATCH(B17,Perf.Sprint!$B$4:$B$41,0)),"")</f>
        <v>F</v>
      </c>
      <c r="D17" s="436" t="s">
        <v>149</v>
      </c>
      <c r="E17" s="436" t="str">
        <f ca="1">B16</f>
        <v>H</v>
      </c>
      <c r="F17" s="436" t="str">
        <f ca="1">IF(E17&lt;&gt;"",INDEX(Perf.Sprint!$C$4:$C$41,MATCH(E17,Perf.Sprint!$B$4:$B$41,0)),"")</f>
        <v>F</v>
      </c>
      <c r="G17" s="436" t="str">
        <f ca="1">CONCATENATE(F17,C17)</f>
        <v>FF</v>
      </c>
      <c r="H17" s="437"/>
      <c r="I17" s="438">
        <f ca="1">IF(B17&lt;&gt;0,INDEX(Perf.Sprint!$BJ$4:$BJ$40,MATCH(B17,Perf.Sprint!$B$4:$B$40,0)),"")</f>
        <v>6.15</v>
      </c>
      <c r="J17" s="438">
        <f ca="1">IF(E17&lt;&gt;0,INDEX(Perf.Sprint!$BG$4:$BG$40,MATCH(E17,Perf.Sprint!$B$4:$B$40,0)),"")</f>
        <v>4.1000000000000005</v>
      </c>
      <c r="K17" s="438">
        <f ca="1">IFERROR(SUM(I17+J17),"")</f>
        <v>10.25</v>
      </c>
      <c r="L17" s="436">
        <f ca="1">IF(K17="","",ROUND($J$2/K17,1))</f>
        <v>5.9</v>
      </c>
      <c r="M17" s="439">
        <f ca="1">IF(K17="","",(L17*3600)/1000)</f>
        <v>21.24</v>
      </c>
      <c r="N17" s="474">
        <v>11.1</v>
      </c>
      <c r="O17" s="441">
        <f>IFERROR(IF(N17="","",ROUND($J$2/N17,1)),"")</f>
        <v>5.4</v>
      </c>
      <c r="P17" s="442">
        <f>IF(O17&lt;&gt;"",(O17*3600)/1000,"")</f>
        <v>19.440000000000001</v>
      </c>
      <c r="Q17" s="469" t="s">
        <v>39</v>
      </c>
      <c r="R17" s="444" t="s">
        <v>239</v>
      </c>
      <c r="S17" s="445" t="s">
        <v>239</v>
      </c>
      <c r="T17" s="445" t="s">
        <v>239</v>
      </c>
      <c r="U17" s="446" t="s">
        <v>239</v>
      </c>
      <c r="V17" s="447">
        <f>IF(COUNT(N16:N17)=2,SUM(N16:N17),"")</f>
        <v>22.57</v>
      </c>
      <c r="W17" s="448">
        <f ca="1">IF($V17="","",IF(OR(AND(C17="M",F17="F"),AND(C17="F",F17="M")),VLOOKUP($V17,INDIRECT("rel"),1),VLOOKUP($V17,INDIRECT(C17&amp;"rel"),1)))</f>
        <v>22.399999999999995</v>
      </c>
      <c r="X17" s="448">
        <f ca="1">IFERROR(IF(OR(AND(C17="M",F17="F"),AND(C17="F",F17="M")),INDEX(INDIRECT("rel"),MATCH($V17,INDIRECT("rel"))+1),INDEX(INDIRECT(C17&amp;"rel"),MATCH($V17,INDIRECT(C17&amp;"rel"))+1)),"")</f>
        <v>22.799999999999994</v>
      </c>
      <c r="Y17" s="448">
        <f ca="1">IF(X17="",W17,IF(V17=W17,W17,X17))</f>
        <v>22.799999999999994</v>
      </c>
      <c r="Z17" s="449">
        <f ca="1">IF(Y17="","",IF(OR(AND(C17="M",F17="F"),AND(C17="F",F17="M")),VLOOKUP(Y17,relais,3),IF(C17="F",VLOOKUP(Y17,relaisf,7),VLOOKUP(Y17,relaisg,5))))</f>
        <v>4.25</v>
      </c>
      <c r="AA17" s="450">
        <f t="shared" ref="AA17" ca="1" si="44">IFERROR(AVERAGE(Z16,Z17),"")</f>
        <v>4.25</v>
      </c>
      <c r="AB17" s="472">
        <f ca="1">IFERROR(IF(COUNT($N17)=1,($N17/K17)-1,""),"")</f>
        <v>8.2926829268292757E-2</v>
      </c>
      <c r="AC17" s="452">
        <f ca="1">IF($AB17&lt;&gt;"",INDEX(Barème!$AI$3:$AI$28,MATCH($AB17,Barème!$AH$3:$AH$28,-1)),"")</f>
        <v>1.5</v>
      </c>
      <c r="AD17" s="450">
        <f t="shared" ref="AD17" ca="1" si="45">IF(COUNT(AC16:AC17)&gt;1,AVERAGE(AC16,AC17),"")</f>
        <v>0.75</v>
      </c>
      <c r="AE17" s="453">
        <f t="shared" si="25"/>
        <v>1</v>
      </c>
      <c r="AF17" s="450">
        <f t="shared" ref="AF17" si="46">IFERROR(AVERAGE(AE17,AE16),"")</f>
        <v>1</v>
      </c>
      <c r="AG17" s="432">
        <f t="shared" si="39"/>
        <v>1</v>
      </c>
      <c r="AH17" s="433">
        <f t="shared" si="40"/>
        <v>1</v>
      </c>
      <c r="AI17" s="434">
        <f t="shared" si="41"/>
        <v>2</v>
      </c>
      <c r="AJ17" s="450">
        <f t="shared" ref="AJ17" si="47">IF(COUNT(AG17:AH17,AI16)=3,MROUND(SUM(AG17,AH17,AI16),0.25),"")</f>
        <v>4</v>
      </c>
      <c r="AK17" s="450">
        <f t="shared" si="43"/>
        <v>3.75</v>
      </c>
    </row>
    <row r="18" spans="1:37" ht="15.75" thickBot="1">
      <c r="A18" s="330">
        <v>6</v>
      </c>
      <c r="B18" s="394" t="s">
        <v>176</v>
      </c>
      <c r="C18" s="395" t="s">
        <v>134</v>
      </c>
      <c r="D18" s="396"/>
      <c r="E18" s="396" t="s">
        <v>177</v>
      </c>
      <c r="F18" s="396" t="s">
        <v>134</v>
      </c>
      <c r="G18" s="396"/>
      <c r="H18" s="399" t="s">
        <v>187</v>
      </c>
      <c r="I18" s="398">
        <v>40</v>
      </c>
      <c r="J18" s="398">
        <v>25</v>
      </c>
      <c r="K18" s="399" t="s">
        <v>178</v>
      </c>
      <c r="L18" s="400" t="s">
        <v>139</v>
      </c>
      <c r="M18" s="397" t="s">
        <v>140</v>
      </c>
      <c r="N18" s="401" t="s">
        <v>126</v>
      </c>
      <c r="O18" s="400" t="s">
        <v>139</v>
      </c>
      <c r="P18" s="402" t="s">
        <v>140</v>
      </c>
      <c r="Q18" s="403" t="s">
        <v>170</v>
      </c>
      <c r="R18" s="454" t="s">
        <v>180</v>
      </c>
      <c r="S18" s="455" t="s">
        <v>181</v>
      </c>
      <c r="T18" s="455" t="s">
        <v>182</v>
      </c>
      <c r="U18" s="456" t="s">
        <v>183</v>
      </c>
      <c r="V18" s="457"/>
      <c r="W18" s="458"/>
      <c r="X18" s="458"/>
      <c r="Y18" s="458"/>
      <c r="Z18" s="459"/>
      <c r="AA18" s="460"/>
      <c r="AB18" s="470" t="s">
        <v>188</v>
      </c>
      <c r="AC18" s="411"/>
      <c r="AD18" s="462"/>
      <c r="AE18" s="463" t="str">
        <f t="shared" si="25"/>
        <v/>
      </c>
      <c r="AF18" s="460"/>
      <c r="AG18" s="464" t="s">
        <v>180</v>
      </c>
      <c r="AH18" s="464" t="s">
        <v>152</v>
      </c>
      <c r="AI18" s="465" t="s">
        <v>163</v>
      </c>
      <c r="AJ18" s="457"/>
      <c r="AK18" s="462"/>
    </row>
    <row r="19" spans="1:37" ht="24" customHeight="1">
      <c r="A19" s="321" t="s">
        <v>127</v>
      </c>
      <c r="B19" s="466" t="str">
        <f ca="1">IFERROR('Compo.Relais(1)'!$AF9,"")</f>
        <v>X</v>
      </c>
      <c r="C19" s="413" t="str">
        <f ca="1">IF(B19&lt;&gt;"",INDEX(Perf.Sprint!$C$4:$C$41,MATCH(B19,Perf.Sprint!$B$4:$B$41,0)),"")</f>
        <v>M</v>
      </c>
      <c r="D19" s="413" t="s">
        <v>149</v>
      </c>
      <c r="E19" s="413" t="str">
        <f ca="1">IFERROR('Compo.Relais(1)'!$AH9,"")</f>
        <v>Y</v>
      </c>
      <c r="F19" s="413" t="str">
        <f ca="1">IF(E19&lt;&gt;"",INDEX(Perf.Sprint!$C$4:$C$41,MATCH(E19,Perf.Sprint!$B$4:$B$41,0)),"")</f>
        <v>F</v>
      </c>
      <c r="G19" s="413" t="str">
        <f ca="1">CONCATENATE(C19,F19)</f>
        <v>MF</v>
      </c>
      <c r="H19" s="414"/>
      <c r="I19" s="415">
        <f ca="1">IF(B19&lt;&gt;0,INDEX(Perf.Sprint!$BJ$4:$BJ$40,MATCH(B19,Perf.Sprint!$B$4:$B$40,0)),"")</f>
        <v>6</v>
      </c>
      <c r="J19" s="415">
        <f ca="1">IF(E19&lt;&gt;0,INDEX(Perf.Sprint!$BG$4:$BG$40,MATCH(E19,Perf.Sprint!$B$4:$B$40,0)),"")</f>
        <v>4.1999999999999993</v>
      </c>
      <c r="K19" s="416">
        <f ca="1">IFERROR(SUM(I19+J19),"")</f>
        <v>10.199999999999999</v>
      </c>
      <c r="L19" s="413">
        <f ca="1">IF(K19="","",ROUND($J$2/K19,1))</f>
        <v>5.9</v>
      </c>
      <c r="M19" s="417">
        <f ca="1">IF(K19="","",(L19*3600)/1000)</f>
        <v>21.24</v>
      </c>
      <c r="N19" s="473">
        <v>10.7</v>
      </c>
      <c r="O19" s="419">
        <f>IFERROR(IF(N19="","",ROUND($J$2/N19,1)),"")</f>
        <v>5.6</v>
      </c>
      <c r="P19" s="420">
        <f>IF(O19&lt;&gt;"",(O19*3600)/1000,"")</f>
        <v>20.16</v>
      </c>
      <c r="Q19" s="467" t="s">
        <v>36</v>
      </c>
      <c r="R19" s="422" t="s">
        <v>239</v>
      </c>
      <c r="S19" s="423" t="s">
        <v>239</v>
      </c>
      <c r="T19" s="423" t="s">
        <v>239</v>
      </c>
      <c r="U19" s="424" t="s">
        <v>239</v>
      </c>
      <c r="V19" s="425">
        <f>IF(COUNT(N19:N20)=2,SUM(N19:N20),"")</f>
        <v>22.46</v>
      </c>
      <c r="W19" s="426">
        <f ca="1">IF($V19="","",IF(OR(AND(C19="M",F19="F"),AND(C19="F",F19="M")),VLOOKUP($V19,INDIRECT("rel"),1),VLOOKUP($V19,INDIRECT(C19&amp;"rel"),1)))</f>
        <v>22.399999999999991</v>
      </c>
      <c r="X19" s="426">
        <f ca="1">IFERROR(IF(OR(AND(C19="M",F19="F"),AND(C19="F",F19="M")),INDEX(INDIRECT("rel"),MATCH($V19,INDIRECT("rel"))+1),INDEX(INDIRECT(C19&amp;"rel"),MATCH($V19,INDIRECT(C19&amp;"rel"))+1)),"")</f>
        <v>22.999999999999993</v>
      </c>
      <c r="Y19" s="426">
        <f ca="1">IF(X19="",W19,IF(V19=W19,W19,X19))</f>
        <v>22.999999999999993</v>
      </c>
      <c r="Z19" s="427">
        <f ca="1">IF(Y19="","",IF(OR(AND(C19="M",F19="F"),AND(C19="F",F19="M")),VLOOKUP(Y19,relais,3),IF(C19="F",VLOOKUP(Y19,relaisf,7),VLOOKUP(Y19,relaisg,5))))</f>
        <v>3.5</v>
      </c>
      <c r="AA19" s="428">
        <f t="shared" ref="AA19" ca="1" si="48">IFERROR(AVERAGE(Z19,Z20),"")</f>
        <v>3.5</v>
      </c>
      <c r="AB19" s="471">
        <f ca="1">IFERROR(IF(COUNT($N19)=1,($N19/K19)-1,""),"")</f>
        <v>4.9019607843137303E-2</v>
      </c>
      <c r="AC19" s="430">
        <f ca="1">IF($AB19&lt;&gt;"",INDEX(Barème!$AI$3:$AI$28,MATCH($AB19,Barème!$AH$3:$AH$28,-1)),"")</f>
        <v>4.5</v>
      </c>
      <c r="AD19" s="428">
        <f t="shared" ref="AD19" ca="1" si="49">IF(COUNT(AC19:AC20)&gt;1,AVERAGE(AC19,AC20),"")</f>
        <v>2.25</v>
      </c>
      <c r="AE19" s="431">
        <f t="shared" si="25"/>
        <v>3</v>
      </c>
      <c r="AF19" s="428">
        <f t="shared" ref="AF19" si="50">IFERROR(AVERAGE(AE19:AE20),"")</f>
        <v>1.75</v>
      </c>
      <c r="AG19" s="432">
        <f t="shared" ref="AG19:AG20" si="51">IF(COUNTA(R19)=1,COUNTIF(R19,"OUI"),"")</f>
        <v>1</v>
      </c>
      <c r="AH19" s="433">
        <f t="shared" ref="AH19:AH20" si="52">IF(COUNTA(U19)=1,COUNTIF(U19,"OUI"),"")</f>
        <v>1</v>
      </c>
      <c r="AI19" s="434">
        <f t="shared" ref="AI19:AI20" si="53">IF(COUNTA(S19:T19)=2,COUNTIF(S19:T19,"OUI"),"")</f>
        <v>2</v>
      </c>
      <c r="AJ19" s="428">
        <f t="shared" ref="AJ19" si="54">IF(COUNT(AG19:AH19,AI20)=3,MROUND(SUM(AG19,AH19,AI20),0.25),"")</f>
        <v>3</v>
      </c>
      <c r="AK19" s="428">
        <f t="shared" ref="AK19:AK20" si="55">IFERROR((AF19/4)*3+(AJ19/4)*3,"")</f>
        <v>3.5625</v>
      </c>
    </row>
    <row r="20" spans="1:37" ht="24" customHeight="1" thickBot="1">
      <c r="A20" s="321" t="s">
        <v>128</v>
      </c>
      <c r="B20" s="468" t="str">
        <f ca="1">E19</f>
        <v>Y</v>
      </c>
      <c r="C20" s="436" t="str">
        <f ca="1">IF(B20&lt;&gt;"",INDEX(Perf.Sprint!$C$4:$C$41,MATCH(B20,Perf.Sprint!$B$4:$B$41,0)),"")</f>
        <v>F</v>
      </c>
      <c r="D20" s="436" t="s">
        <v>149</v>
      </c>
      <c r="E20" s="436" t="str">
        <f ca="1">B19</f>
        <v>X</v>
      </c>
      <c r="F20" s="436" t="str">
        <f ca="1">IF(E20&lt;&gt;"",INDEX(Perf.Sprint!$C$4:$C$41,MATCH(E20,Perf.Sprint!$B$4:$B$41,0)),"")</f>
        <v>M</v>
      </c>
      <c r="G20" s="436" t="str">
        <f ca="1">CONCATENATE(F20,C20)</f>
        <v>MF</v>
      </c>
      <c r="H20" s="437"/>
      <c r="I20" s="438">
        <f ca="1">IF(B20&lt;&gt;0,INDEX(Perf.Sprint!$BJ$4:$BJ$40,MATCH(B20,Perf.Sprint!$B$4:$B$40,0)),"")</f>
        <v>6.75</v>
      </c>
      <c r="J20" s="438">
        <f ca="1">IF(E20&lt;&gt;0,INDEX(Perf.Sprint!$BG$4:$BG$40,MATCH(E20,Perf.Sprint!$B$4:$B$40,0)),"")</f>
        <v>3.6</v>
      </c>
      <c r="K20" s="438">
        <f ca="1">IFERROR(SUM(I20+J20),"")</f>
        <v>10.35</v>
      </c>
      <c r="L20" s="436">
        <f ca="1">IF(K20="","",ROUND($J$2/K20,1))</f>
        <v>5.8</v>
      </c>
      <c r="M20" s="439">
        <f ca="1">IF(K20="","",(L20*3600)/1000)</f>
        <v>20.88</v>
      </c>
      <c r="N20" s="474">
        <v>11.76</v>
      </c>
      <c r="O20" s="441">
        <f>IFERROR(IF(N20="","",ROUND($J$2/N20,1)),"")</f>
        <v>5.0999999999999996</v>
      </c>
      <c r="P20" s="442">
        <f>IF(O20&lt;&gt;"",(O20*3600)/1000,"")</f>
        <v>18.36</v>
      </c>
      <c r="Q20" s="469" t="s">
        <v>41</v>
      </c>
      <c r="R20" s="444" t="s">
        <v>239</v>
      </c>
      <c r="S20" s="445" t="s">
        <v>239</v>
      </c>
      <c r="T20" s="445" t="s">
        <v>238</v>
      </c>
      <c r="U20" s="446" t="s">
        <v>239</v>
      </c>
      <c r="V20" s="447">
        <f>IF(COUNT(N19:N20)=2,SUM(N19:N20),"")</f>
        <v>22.46</v>
      </c>
      <c r="W20" s="448">
        <f ca="1">IF($V20="","",IF(OR(AND(C20="M",F20="F"),AND(C20="F",F20="M")),VLOOKUP($V20,INDIRECT("rel"),1),VLOOKUP($V20,INDIRECT(C20&amp;"rel"),1)))</f>
        <v>22.399999999999991</v>
      </c>
      <c r="X20" s="448">
        <f ca="1">IFERROR(IF(OR(AND(C20="M",F20="F"),AND(C20="F",F20="M")),INDEX(INDIRECT("rel"),MATCH($V20,INDIRECT("rel"))+1),INDEX(INDIRECT(C20&amp;"rel"),MATCH($V20,INDIRECT(C20&amp;"rel"))+1)),"")</f>
        <v>22.999999999999993</v>
      </c>
      <c r="Y20" s="448">
        <f ca="1">IF(X20="",W20,IF(V20=W20,W20,X20))</f>
        <v>22.999999999999993</v>
      </c>
      <c r="Z20" s="449">
        <f ca="1">IF(Y20="","",IF(OR(AND(C20="M",F20="F"),AND(C20="F",F20="M")),VLOOKUP(Y20,relais,3),IF(C20="F",VLOOKUP(Y20,relaisf,7),VLOOKUP(Y20,relaisg,5))))</f>
        <v>3.5</v>
      </c>
      <c r="AA20" s="450">
        <f t="shared" ref="AA20" ca="1" si="56">IFERROR(AVERAGE(Z19,Z20),"")</f>
        <v>3.5</v>
      </c>
      <c r="AB20" s="472">
        <f ca="1">IFERROR(IF(COUNT($N20)=1,($N20/K20)-1,""),"")</f>
        <v>0.13623188405797104</v>
      </c>
      <c r="AC20" s="452">
        <f ca="1">IF($AB20&lt;&gt;"",INDEX(Barème!$AI$3:$AI$28,MATCH($AB20,Barème!$AH$3:$AH$28,-1)),"")</f>
        <v>0</v>
      </c>
      <c r="AD20" s="450">
        <f t="shared" ref="AD20" ca="1" si="57">IF(COUNT(AC19:AC20)&gt;1,AVERAGE(AC19,AC20),"")</f>
        <v>2.25</v>
      </c>
      <c r="AE20" s="453">
        <f t="shared" si="25"/>
        <v>0.5</v>
      </c>
      <c r="AF20" s="450">
        <f t="shared" ref="AF20" si="58">IFERROR(AVERAGE(AE20,AE19),"")</f>
        <v>1.75</v>
      </c>
      <c r="AG20" s="432">
        <f t="shared" si="51"/>
        <v>1</v>
      </c>
      <c r="AH20" s="433">
        <f t="shared" si="52"/>
        <v>1</v>
      </c>
      <c r="AI20" s="434">
        <f t="shared" si="53"/>
        <v>1</v>
      </c>
      <c r="AJ20" s="450">
        <f t="shared" ref="AJ20" si="59">IF(COUNT(AG20:AH20,AI19)=3,MROUND(SUM(AG20,AH20,AI19),0.25),"")</f>
        <v>4</v>
      </c>
      <c r="AK20" s="450">
        <f t="shared" si="55"/>
        <v>4.3125</v>
      </c>
    </row>
    <row r="21" spans="1:37" ht="15.75" thickBot="1">
      <c r="A21" s="330">
        <v>7</v>
      </c>
      <c r="B21" s="394" t="s">
        <v>176</v>
      </c>
      <c r="C21" s="395" t="s">
        <v>134</v>
      </c>
      <c r="D21" s="396"/>
      <c r="E21" s="396" t="s">
        <v>177</v>
      </c>
      <c r="F21" s="396" t="s">
        <v>134</v>
      </c>
      <c r="G21" s="396"/>
      <c r="H21" s="399" t="s">
        <v>187</v>
      </c>
      <c r="I21" s="398">
        <v>41</v>
      </c>
      <c r="J21" s="398">
        <v>25</v>
      </c>
      <c r="K21" s="399" t="s">
        <v>178</v>
      </c>
      <c r="L21" s="400" t="s">
        <v>139</v>
      </c>
      <c r="M21" s="397" t="s">
        <v>140</v>
      </c>
      <c r="N21" s="401" t="s">
        <v>126</v>
      </c>
      <c r="O21" s="400" t="s">
        <v>139</v>
      </c>
      <c r="P21" s="402" t="s">
        <v>140</v>
      </c>
      <c r="Q21" s="403" t="s">
        <v>170</v>
      </c>
      <c r="R21" s="454" t="s">
        <v>180</v>
      </c>
      <c r="S21" s="455" t="s">
        <v>181</v>
      </c>
      <c r="T21" s="455" t="s">
        <v>182</v>
      </c>
      <c r="U21" s="456" t="s">
        <v>183</v>
      </c>
      <c r="V21" s="457"/>
      <c r="W21" s="458"/>
      <c r="X21" s="458"/>
      <c r="Y21" s="458"/>
      <c r="Z21" s="459"/>
      <c r="AA21" s="460"/>
      <c r="AB21" s="470" t="s">
        <v>188</v>
      </c>
      <c r="AC21" s="411"/>
      <c r="AD21" s="462"/>
      <c r="AE21" s="463" t="str">
        <f t="shared" si="25"/>
        <v/>
      </c>
      <c r="AF21" s="460"/>
      <c r="AG21" s="464" t="s">
        <v>180</v>
      </c>
      <c r="AH21" s="464" t="s">
        <v>152</v>
      </c>
      <c r="AI21" s="465" t="s">
        <v>163</v>
      </c>
      <c r="AJ21" s="457"/>
      <c r="AK21" s="462"/>
    </row>
    <row r="22" spans="1:37" ht="24" customHeight="1">
      <c r="A22" s="321" t="s">
        <v>127</v>
      </c>
      <c r="B22" s="466" t="str">
        <f ca="1">IFERROR('Compo.Relais(1)'!$AF10,"")</f>
        <v>R</v>
      </c>
      <c r="C22" s="413" t="str">
        <f ca="1">IF(B22&lt;&gt;"",INDEX(Perf.Sprint!$C$4:$C$41,MATCH(B22,Perf.Sprint!$B$4:$B$41,0)),"")</f>
        <v>F</v>
      </c>
      <c r="D22" s="413" t="s">
        <v>149</v>
      </c>
      <c r="E22" s="413" t="str">
        <f ca="1">IFERROR('Compo.Relais(1)'!$AH10,"")</f>
        <v>T</v>
      </c>
      <c r="F22" s="413" t="str">
        <f ca="1">IF(E22&lt;&gt;"",INDEX(Perf.Sprint!$C$4:$C$41,MATCH(E22,Perf.Sprint!$B$4:$B$41,0)),"")</f>
        <v>F</v>
      </c>
      <c r="G22" s="413" t="str">
        <f ca="1">CONCATENATE(C22,F22)</f>
        <v>FF</v>
      </c>
      <c r="H22" s="414"/>
      <c r="I22" s="415">
        <f ca="1">IF(B22&lt;&gt;0,INDEX(Perf.Sprint!$BJ$4:$BJ$40,MATCH(B22,Perf.Sprint!$B$4:$B$40,0)),"")</f>
        <v>6.15</v>
      </c>
      <c r="J22" s="415">
        <f ca="1">IF(E22&lt;&gt;0,INDEX(Perf.Sprint!$BG$4:$BG$40,MATCH(E22,Perf.Sprint!$B$4:$B$40,0)),"")</f>
        <v>4.7000000000000011</v>
      </c>
      <c r="K22" s="416">
        <f ca="1">IFERROR(SUM(I22+J22),"")</f>
        <v>10.850000000000001</v>
      </c>
      <c r="L22" s="413">
        <f ca="1">IF(K22="","",ROUND($J$2/K22,1))</f>
        <v>5.5</v>
      </c>
      <c r="M22" s="417">
        <f ca="1">IF(K22="","",(L22*3600)/1000)</f>
        <v>19.8</v>
      </c>
      <c r="N22" s="473">
        <v>12.52</v>
      </c>
      <c r="O22" s="419">
        <f>IFERROR(IF(N22="","",ROUND($J$2/N22,1)),"")</f>
        <v>4.8</v>
      </c>
      <c r="P22" s="420">
        <f>IF(O22&lt;&gt;"",(O22*3600)/1000,"")</f>
        <v>17.28</v>
      </c>
      <c r="Q22" s="467" t="s">
        <v>39</v>
      </c>
      <c r="R22" s="422" t="s">
        <v>239</v>
      </c>
      <c r="S22" s="423" t="s">
        <v>239</v>
      </c>
      <c r="T22" s="423" t="s">
        <v>238</v>
      </c>
      <c r="U22" s="424" t="s">
        <v>239</v>
      </c>
      <c r="V22" s="425">
        <f>IF(COUNT(N22:N23)=2,SUM(N22:N23),"")</f>
        <v>25.32</v>
      </c>
      <c r="W22" s="426">
        <f ca="1">IF($V22="","",IF(OR(AND(C22="M",F22="F"),AND(C22="F",F22="M")),VLOOKUP($V22,INDIRECT("rel"),1),VLOOKUP($V22,INDIRECT(C22&amp;"rel"),1)))</f>
        <v>24.999999999999996</v>
      </c>
      <c r="X22" s="426">
        <f ca="1">IFERROR(IF(OR(AND(C22="M",F22="F"),AND(C22="F",F22="M")),INDEX(INDIRECT("rel"),MATCH($V22,INDIRECT("rel"))+1),INDEX(INDIRECT(C22&amp;"rel"),MATCH($V22,INDIRECT(C22&amp;"rel"))+1)),"")</f>
        <v>25.599999999999998</v>
      </c>
      <c r="Y22" s="426">
        <f ca="1">IF(X22="",W22,IF(V22=W22,W22,X22))</f>
        <v>25.599999999999998</v>
      </c>
      <c r="Z22" s="427">
        <f ca="1">IF(Y22="","",IF(OR(AND(C22="M",F22="F"),AND(C22="F",F22="M")),VLOOKUP(Y22,relais,3),IF(C22="F",VLOOKUP(Y22,relaisf,7),VLOOKUP(Y22,relaisg,5))))</f>
        <v>3</v>
      </c>
      <c r="AA22" s="428">
        <f t="shared" ref="AA22" ca="1" si="60">IFERROR(AVERAGE(Z22,Z23),"")</f>
        <v>3</v>
      </c>
      <c r="AB22" s="471">
        <f ca="1">IFERROR(IF(COUNT($N22)=1,($N22/K22)-1,""),"")</f>
        <v>0.15391705069124395</v>
      </c>
      <c r="AC22" s="430">
        <f ca="1">IF($AB22&lt;&gt;"",INDEX(Barème!$AI$3:$AI$28,MATCH($AB22,Barème!$AH$3:$AH$28,-1)),"")</f>
        <v>0</v>
      </c>
      <c r="AD22" s="428">
        <f t="shared" ref="AD22" ca="1" si="61">IF(COUNT(AC22:AC23)&gt;1,AVERAGE(AC22,AC23),"")</f>
        <v>0</v>
      </c>
      <c r="AE22" s="431">
        <f t="shared" si="25"/>
        <v>1</v>
      </c>
      <c r="AF22" s="428">
        <f t="shared" ref="AF22" si="62">IFERROR(AVERAGE(AE22:AE23),"")</f>
        <v>2</v>
      </c>
      <c r="AG22" s="432">
        <f t="shared" ref="AG22:AG23" si="63">IF(COUNTA(R22)=1,COUNTIF(R22,"OUI"),"")</f>
        <v>1</v>
      </c>
      <c r="AH22" s="433">
        <f t="shared" ref="AH22:AH23" si="64">IF(COUNTA(U22)=1,COUNTIF(U22,"OUI"),"")</f>
        <v>1</v>
      </c>
      <c r="AI22" s="434">
        <f t="shared" ref="AI22:AI23" si="65">IF(COUNTA(S22:T22)=2,COUNTIF(S22:T22,"OUI"),"")</f>
        <v>1</v>
      </c>
      <c r="AJ22" s="428">
        <f t="shared" ref="AJ22" si="66">IF(COUNT(AG22:AH22,AI23)=3,MROUND(SUM(AG22,AH22,AI23),0.25),"")</f>
        <v>4</v>
      </c>
      <c r="AK22" s="428">
        <f t="shared" ref="AK22:AK23" si="67">IFERROR((AF22/4)*3+(AJ22/4)*3,"")</f>
        <v>4.5</v>
      </c>
    </row>
    <row r="23" spans="1:37" ht="24" customHeight="1" thickBot="1">
      <c r="A23" s="321" t="s">
        <v>128</v>
      </c>
      <c r="B23" s="468" t="str">
        <f ca="1">E22</f>
        <v>T</v>
      </c>
      <c r="C23" s="436" t="str">
        <f ca="1">IF(B23&lt;&gt;"",INDEX(Perf.Sprint!$C$4:$C$41,MATCH(B23,Perf.Sprint!$B$4:$B$41,0)),"")</f>
        <v>F</v>
      </c>
      <c r="D23" s="436" t="s">
        <v>149</v>
      </c>
      <c r="E23" s="436" t="str">
        <f ca="1">B22</f>
        <v>R</v>
      </c>
      <c r="F23" s="436" t="str">
        <f ca="1">IF(E23&lt;&gt;"",INDEX(Perf.Sprint!$C$4:$C$41,MATCH(E23,Perf.Sprint!$B$4:$B$41,0)),"")</f>
        <v>F</v>
      </c>
      <c r="G23" s="436" t="str">
        <f ca="1">CONCATENATE(F23,C23)</f>
        <v>FF</v>
      </c>
      <c r="H23" s="437"/>
      <c r="I23" s="438">
        <f ca="1">IF(B23&lt;&gt;0,INDEX(Perf.Sprint!$BJ$4:$BJ$40,MATCH(B23,Perf.Sprint!$B$4:$B$40,0)),"")</f>
        <v>7.3500000000000005</v>
      </c>
      <c r="J23" s="438">
        <f ca="1">IF(E23&lt;&gt;0,INDEX(Perf.Sprint!$BG$4:$BG$40,MATCH(E23,Perf.Sprint!$B$4:$B$40,0)),"")</f>
        <v>3.7</v>
      </c>
      <c r="K23" s="438">
        <f ca="1">IFERROR(SUM(I23+J23),"")</f>
        <v>11.05</v>
      </c>
      <c r="L23" s="436">
        <f ca="1">IF(K23="","",ROUND($J$2/K23,1))</f>
        <v>5.4</v>
      </c>
      <c r="M23" s="439">
        <f ca="1">IF(K23="","",(L23*3600)/1000)</f>
        <v>19.440000000000001</v>
      </c>
      <c r="N23" s="474">
        <v>12.8</v>
      </c>
      <c r="O23" s="441">
        <f>IFERROR(IF(N23="","",ROUND($J$2/N23,1)),"")</f>
        <v>4.7</v>
      </c>
      <c r="P23" s="442">
        <f>IF(O23&lt;&gt;"",(O23*3600)/1000,"")</f>
        <v>16.920000000000002</v>
      </c>
      <c r="Q23" s="469" t="s">
        <v>36</v>
      </c>
      <c r="R23" s="444" t="s">
        <v>239</v>
      </c>
      <c r="S23" s="445" t="s">
        <v>239</v>
      </c>
      <c r="T23" s="445" t="s">
        <v>239</v>
      </c>
      <c r="U23" s="446" t="s">
        <v>239</v>
      </c>
      <c r="V23" s="447">
        <f>IF(COUNT(N22:N23)=2,SUM(N22:N23),"")</f>
        <v>25.32</v>
      </c>
      <c r="W23" s="448">
        <f ca="1">IF($V23="","",IF(OR(AND(C23="M",F23="F"),AND(C23="F",F23="M")),VLOOKUP($V23,INDIRECT("rel"),1),VLOOKUP($V23,INDIRECT(C23&amp;"rel"),1)))</f>
        <v>24.999999999999996</v>
      </c>
      <c r="X23" s="448">
        <f ca="1">IFERROR(IF(OR(AND(C23="M",F23="F"),AND(C23="F",F23="M")),INDEX(INDIRECT("rel"),MATCH($V23,INDIRECT("rel"))+1),INDEX(INDIRECT(C23&amp;"rel"),MATCH($V23,INDIRECT(C23&amp;"rel"))+1)),"")</f>
        <v>25.599999999999998</v>
      </c>
      <c r="Y23" s="448">
        <f ca="1">IF(X23="",W23,IF(V23=W23,W23,X23))</f>
        <v>25.599999999999998</v>
      </c>
      <c r="Z23" s="449">
        <f ca="1">IF(Y23="","",IF(OR(AND(C23="M",F23="F"),AND(C23="F",F23="M")),VLOOKUP(Y23,relais,3),IF(C23="F",VLOOKUP(Y23,relaisf,7),VLOOKUP(Y23,relaisg,5))))</f>
        <v>3</v>
      </c>
      <c r="AA23" s="450">
        <f t="shared" ref="AA23" ca="1" si="68">IFERROR(AVERAGE(Z22,Z23),"")</f>
        <v>3</v>
      </c>
      <c r="AB23" s="472">
        <f ca="1">IFERROR(IF(COUNT($N23)=1,($N23/K23)-1,""),"")</f>
        <v>0.15837104072398178</v>
      </c>
      <c r="AC23" s="452">
        <f ca="1">IF($AB23&lt;&gt;"",INDEX(Barème!$AI$3:$AI$28,MATCH($AB23,Barème!$AH$3:$AH$28,-1)),"")</f>
        <v>0</v>
      </c>
      <c r="AD23" s="450">
        <f t="shared" ref="AD23" ca="1" si="69">IF(COUNT(AC22:AC23)&gt;1,AVERAGE(AC22,AC23),"")</f>
        <v>0</v>
      </c>
      <c r="AE23" s="453">
        <f t="shared" si="25"/>
        <v>3</v>
      </c>
      <c r="AF23" s="450">
        <f t="shared" ref="AF23" si="70">IFERROR(AVERAGE(AE23,AE22),"")</f>
        <v>2</v>
      </c>
      <c r="AG23" s="432">
        <f t="shared" si="63"/>
        <v>1</v>
      </c>
      <c r="AH23" s="433">
        <f t="shared" si="64"/>
        <v>1</v>
      </c>
      <c r="AI23" s="434">
        <f t="shared" si="65"/>
        <v>2</v>
      </c>
      <c r="AJ23" s="450">
        <f t="shared" ref="AJ23" si="71">IF(COUNT(AG23:AH23,AI22)=3,MROUND(SUM(AG23,AH23,AI22),0.25),"")</f>
        <v>3</v>
      </c>
      <c r="AK23" s="450">
        <f t="shared" si="67"/>
        <v>3.75</v>
      </c>
    </row>
    <row r="24" spans="1:37" ht="15.75" thickBot="1">
      <c r="A24" s="330">
        <v>8</v>
      </c>
      <c r="B24" s="394" t="s">
        <v>176</v>
      </c>
      <c r="C24" s="395" t="s">
        <v>134</v>
      </c>
      <c r="D24" s="396"/>
      <c r="E24" s="396" t="s">
        <v>177</v>
      </c>
      <c r="F24" s="396" t="s">
        <v>134</v>
      </c>
      <c r="G24" s="396"/>
      <c r="H24" s="399" t="s">
        <v>187</v>
      </c>
      <c r="I24" s="398">
        <v>42</v>
      </c>
      <c r="J24" s="398">
        <v>25</v>
      </c>
      <c r="K24" s="399" t="s">
        <v>178</v>
      </c>
      <c r="L24" s="400" t="s">
        <v>139</v>
      </c>
      <c r="M24" s="397" t="s">
        <v>140</v>
      </c>
      <c r="N24" s="401" t="s">
        <v>126</v>
      </c>
      <c r="O24" s="400" t="s">
        <v>139</v>
      </c>
      <c r="P24" s="402" t="s">
        <v>140</v>
      </c>
      <c r="Q24" s="403" t="s">
        <v>170</v>
      </c>
      <c r="R24" s="454" t="s">
        <v>180</v>
      </c>
      <c r="S24" s="455" t="s">
        <v>181</v>
      </c>
      <c r="T24" s="455" t="s">
        <v>182</v>
      </c>
      <c r="U24" s="456" t="s">
        <v>183</v>
      </c>
      <c r="V24" s="457"/>
      <c r="W24" s="458"/>
      <c r="X24" s="458"/>
      <c r="Y24" s="458"/>
      <c r="Z24" s="459"/>
      <c r="AA24" s="460"/>
      <c r="AB24" s="470" t="s">
        <v>188</v>
      </c>
      <c r="AC24" s="411"/>
      <c r="AD24" s="462"/>
      <c r="AE24" s="463" t="str">
        <f t="shared" si="25"/>
        <v/>
      </c>
      <c r="AF24" s="460"/>
      <c r="AG24" s="464" t="s">
        <v>180</v>
      </c>
      <c r="AH24" s="464" t="s">
        <v>152</v>
      </c>
      <c r="AI24" s="465" t="s">
        <v>163</v>
      </c>
      <c r="AJ24" s="457"/>
      <c r="AK24" s="462"/>
    </row>
    <row r="25" spans="1:37" ht="24" customHeight="1">
      <c r="A25" s="321" t="s">
        <v>127</v>
      </c>
      <c r="B25" s="466" t="str">
        <f ca="1">IFERROR('Compo.Relais(1)'!$AF11,"")</f>
        <v>E</v>
      </c>
      <c r="C25" s="413" t="str">
        <f ca="1">IF(B25&lt;&gt;"",INDEX(Perf.Sprint!$C$4:$C$41,MATCH(B25,Perf.Sprint!$B$4:$B$41,0)),"")</f>
        <v>M</v>
      </c>
      <c r="D25" s="413" t="s">
        <v>149</v>
      </c>
      <c r="E25" s="413" t="str">
        <f ca="1">IFERROR('Compo.Relais(1)'!$AH11,"")</f>
        <v>F</v>
      </c>
      <c r="F25" s="413" t="str">
        <f ca="1">IF(E25&lt;&gt;"",INDEX(Perf.Sprint!$C$4:$C$41,MATCH(E25,Perf.Sprint!$B$4:$B$41,0)),"")</f>
        <v>F</v>
      </c>
      <c r="G25" s="413" t="str">
        <f ca="1">CONCATENATE(C25,F25)</f>
        <v>MF</v>
      </c>
      <c r="H25" s="414"/>
      <c r="I25" s="415">
        <f ca="1">IF(B25&lt;&gt;0,INDEX(Perf.Sprint!$BJ$4:$BJ$40,MATCH(B25,Perf.Sprint!$B$4:$B$40,0)),"")</f>
        <v>6.6999999999999993</v>
      </c>
      <c r="J25" s="415">
        <f ca="1">IF(E25&lt;&gt;0,INDEX(Perf.Sprint!$BG$4:$BG$40,MATCH(E25,Perf.Sprint!$B$4:$B$40,0)),"")</f>
        <v>4.4000000000000004</v>
      </c>
      <c r="K25" s="416">
        <f ca="1">IFERROR(SUM(I25+J25),"")</f>
        <v>11.1</v>
      </c>
      <c r="L25" s="413">
        <f ca="1">IF(K25="","",ROUND($J$2/K25,1))</f>
        <v>5.4</v>
      </c>
      <c r="M25" s="417">
        <f ca="1">IF(K25="","",(L25*3600)/1000)</f>
        <v>19.440000000000001</v>
      </c>
      <c r="N25" s="473">
        <v>12.34</v>
      </c>
      <c r="O25" s="419">
        <f>IFERROR(IF(N25="","",ROUND($J$2/N25,1)),"")</f>
        <v>4.9000000000000004</v>
      </c>
      <c r="P25" s="420">
        <f>IF(O25&lt;&gt;"",(O25*3600)/1000,"")</f>
        <v>17.64</v>
      </c>
      <c r="Q25" s="467" t="s">
        <v>209</v>
      </c>
      <c r="R25" s="422" t="s">
        <v>239</v>
      </c>
      <c r="S25" s="423" t="s">
        <v>239</v>
      </c>
      <c r="T25" s="423" t="s">
        <v>239</v>
      </c>
      <c r="U25" s="424" t="s">
        <v>239</v>
      </c>
      <c r="V25" s="425">
        <f>IF(COUNT(N25:N26)=2,SUM(N25:N26),"")</f>
        <v>24.84</v>
      </c>
      <c r="W25" s="426">
        <f ca="1">IF($V25="","",IF(OR(AND(C25="M",F25="F"),AND(C25="F",F25="M")),VLOOKUP($V25,INDIRECT("rel"),1),VLOOKUP($V25,INDIRECT(C25&amp;"rel"),1)))</f>
        <v>24.199999999999996</v>
      </c>
      <c r="X25" s="426">
        <f ca="1">IFERROR(IF(OR(AND(C25="M",F25="F"),AND(C25="F",F25="M")),INDEX(INDIRECT("rel"),MATCH($V25,INDIRECT("rel"))+1),INDEX(INDIRECT(C25&amp;"rel"),MATCH($V25,INDIRECT(C25&amp;"rel"))+1)),"")</f>
        <v>25</v>
      </c>
      <c r="Y25" s="426">
        <f ca="1">IF(X25="",W25,IF(V25=W25,W25,X25))</f>
        <v>25</v>
      </c>
      <c r="Z25" s="427">
        <f ca="1">IF(Y25="","",IF(OR(AND(C25="M",F25="F"),AND(C25="F",F25="M")),VLOOKUP(Y25,relais,3),IF(C25="F",VLOOKUP(Y25,relaisf,7),VLOOKUP(Y25,relaisg,5))))</f>
        <v>2.75</v>
      </c>
      <c r="AA25" s="428">
        <f t="shared" ref="AA25" ca="1" si="72">IFERROR(AVERAGE(Z25,Z26),"")</f>
        <v>2.75</v>
      </c>
      <c r="AB25" s="471">
        <f ca="1">IFERROR(IF(COUNT($N25)=1,($N25/K25)-1,""),"")</f>
        <v>0.11171171171171168</v>
      </c>
      <c r="AC25" s="430">
        <f ca="1">IF($AB25&lt;&gt;"",INDEX(Barème!$AI$3:$AI$28,MATCH($AB25,Barème!$AH$3:$AH$28,-1)),"")</f>
        <v>0</v>
      </c>
      <c r="AD25" s="428">
        <f t="shared" ref="AD25" ca="1" si="73">IF(COUNT(AC25:AC26)&gt;1,AVERAGE(AC25,AC26),"")</f>
        <v>0</v>
      </c>
      <c r="AE25" s="431">
        <f t="shared" si="25"/>
        <v>4</v>
      </c>
      <c r="AF25" s="428">
        <f t="shared" ref="AF25" si="74">IFERROR(AVERAGE(AE25:AE26),"")</f>
        <v>4</v>
      </c>
      <c r="AG25" s="432">
        <f t="shared" ref="AG25:AG26" si="75">IF(COUNTA(R25)=1,COUNTIF(R25,"OUI"),"")</f>
        <v>1</v>
      </c>
      <c r="AH25" s="433">
        <f t="shared" ref="AH25:AH26" si="76">IF(COUNTA(U25)=1,COUNTIF(U25,"OUI"),"")</f>
        <v>1</v>
      </c>
      <c r="AI25" s="434">
        <f t="shared" ref="AI25:AI26" si="77">IF(COUNTA(S25:T25)=2,COUNTIF(S25:T25,"OUI"),"")</f>
        <v>2</v>
      </c>
      <c r="AJ25" s="428">
        <f t="shared" ref="AJ25" si="78">IF(COUNT(AG25:AH25,AI26)=3,MROUND(SUM(AG25,AH25,AI26),0.25),"")</f>
        <v>4</v>
      </c>
      <c r="AK25" s="428">
        <f t="shared" ref="AK25:AK26" si="79">IFERROR((AF25/4)*3+(AJ25/4)*3,"")</f>
        <v>6</v>
      </c>
    </row>
    <row r="26" spans="1:37" ht="24" customHeight="1" thickBot="1">
      <c r="A26" s="321" t="s">
        <v>128</v>
      </c>
      <c r="B26" s="468" t="str">
        <f ca="1">E25</f>
        <v>F</v>
      </c>
      <c r="C26" s="436" t="str">
        <f ca="1">IF(B26&lt;&gt;"",INDEX(Perf.Sprint!$C$4:$C$41,MATCH(B26,Perf.Sprint!$B$4:$B$41,0)),"")</f>
        <v>F</v>
      </c>
      <c r="D26" s="436" t="s">
        <v>149</v>
      </c>
      <c r="E26" s="436" t="str">
        <f ca="1">B25</f>
        <v>E</v>
      </c>
      <c r="F26" s="436" t="str">
        <f ca="1">IF(E26&lt;&gt;"",INDEX(Perf.Sprint!$C$4:$C$41,MATCH(E26,Perf.Sprint!$B$4:$B$41,0)),"")</f>
        <v>M</v>
      </c>
      <c r="G26" s="436" t="str">
        <f ca="1">CONCATENATE(F26,C26)</f>
        <v>MF</v>
      </c>
      <c r="H26" s="437"/>
      <c r="I26" s="438">
        <f ca="1">IF(B26&lt;&gt;0,INDEX(Perf.Sprint!$BJ$4:$BJ$40,MATCH(B26,Perf.Sprint!$B$4:$B$40,0)),"")</f>
        <v>6.9499999999999993</v>
      </c>
      <c r="J26" s="438">
        <f ca="1">IF(E26&lt;&gt;0,INDEX(Perf.Sprint!$BG$4:$BG$40,MATCH(E26,Perf.Sprint!$B$4:$B$40,0)),"")</f>
        <v>4.3</v>
      </c>
      <c r="K26" s="438">
        <f ca="1">IFERROR(SUM(I26+J26),"")</f>
        <v>11.25</v>
      </c>
      <c r="L26" s="436">
        <f ca="1">IF(K26="","",ROUND($J$2/K26,1))</f>
        <v>5.3</v>
      </c>
      <c r="M26" s="439">
        <f ca="1">IF(K26="","",(L26*3600)/1000)</f>
        <v>19.079999999999998</v>
      </c>
      <c r="N26" s="474">
        <v>12.5</v>
      </c>
      <c r="O26" s="441">
        <f>IFERROR(IF(N26="","",ROUND($J$2/N26,1)),"")</f>
        <v>4.8</v>
      </c>
      <c r="P26" s="442">
        <f>IF(O26&lt;&gt;"",(O26*3600)/1000,"")</f>
        <v>17.28</v>
      </c>
      <c r="Q26" s="469" t="s">
        <v>209</v>
      </c>
      <c r="R26" s="444" t="s">
        <v>239</v>
      </c>
      <c r="S26" s="445" t="s">
        <v>239</v>
      </c>
      <c r="T26" s="445" t="s">
        <v>239</v>
      </c>
      <c r="U26" s="446" t="s">
        <v>239</v>
      </c>
      <c r="V26" s="447">
        <f>IF(COUNT(N25:N26)=2,SUM(N25:N26),"")</f>
        <v>24.84</v>
      </c>
      <c r="W26" s="448">
        <f ca="1">IF($V26="","",IF(OR(AND(C26="M",F26="F"),AND(C26="F",F26="M")),VLOOKUP($V26,INDIRECT("rel"),1),VLOOKUP($V26,INDIRECT(C26&amp;"rel"),1)))</f>
        <v>24.199999999999996</v>
      </c>
      <c r="X26" s="448">
        <f ca="1">IFERROR(IF(OR(AND(C26="M",F26="F"),AND(C26="F",F26="M")),INDEX(INDIRECT("rel"),MATCH($V26,INDIRECT("rel"))+1),INDEX(INDIRECT(C26&amp;"rel"),MATCH($V26,INDIRECT(C26&amp;"rel"))+1)),"")</f>
        <v>25</v>
      </c>
      <c r="Y26" s="448">
        <f ca="1">IF(X26="",W26,IF(V26=W26,W26,X26))</f>
        <v>25</v>
      </c>
      <c r="Z26" s="449">
        <f ca="1">IF(Y26="","",IF(OR(AND(C26="M",F26="F"),AND(C26="F",F26="M")),VLOOKUP(Y26,relais,3),IF(C26="F",VLOOKUP(Y26,relaisf,7),VLOOKUP(Y26,relaisg,5))))</f>
        <v>2.75</v>
      </c>
      <c r="AA26" s="450">
        <f t="shared" ref="AA26" ca="1" si="80">IFERROR(AVERAGE(Z25,Z26),"")</f>
        <v>2.75</v>
      </c>
      <c r="AB26" s="472">
        <f ca="1">IFERROR(IF(COUNT($N26)=1,($N26/K26)-1,""),"")</f>
        <v>0.11111111111111116</v>
      </c>
      <c r="AC26" s="452">
        <f ca="1">IF($AB26&lt;&gt;"",INDEX(Barème!$AI$3:$AI$28,MATCH($AB26,Barème!$AH$3:$AH$28,-1)),"")</f>
        <v>0</v>
      </c>
      <c r="AD26" s="450">
        <f t="shared" ref="AD26" ca="1" si="81">IF(COUNT(AC25:AC26)&gt;1,AVERAGE(AC25,AC26),"")</f>
        <v>0</v>
      </c>
      <c r="AE26" s="453">
        <f t="shared" si="25"/>
        <v>4</v>
      </c>
      <c r="AF26" s="450">
        <f t="shared" ref="AF26" si="82">IFERROR(AVERAGE(AE26,AE25),"")</f>
        <v>4</v>
      </c>
      <c r="AG26" s="432">
        <f t="shared" si="75"/>
        <v>1</v>
      </c>
      <c r="AH26" s="433">
        <f t="shared" si="76"/>
        <v>1</v>
      </c>
      <c r="AI26" s="434">
        <f t="shared" si="77"/>
        <v>2</v>
      </c>
      <c r="AJ26" s="450">
        <f t="shared" ref="AJ26" si="83">IF(COUNT(AG26:AH26,AI25)=3,MROUND(SUM(AG26,AH26,AI25),0.25),"")</f>
        <v>4</v>
      </c>
      <c r="AK26" s="450">
        <f t="shared" si="79"/>
        <v>6</v>
      </c>
    </row>
    <row r="27" spans="1:37" ht="15.75" thickBot="1">
      <c r="A27" s="330">
        <v>9</v>
      </c>
      <c r="B27" s="394" t="s">
        <v>176</v>
      </c>
      <c r="C27" s="395" t="s">
        <v>134</v>
      </c>
      <c r="D27" s="396"/>
      <c r="E27" s="396" t="s">
        <v>177</v>
      </c>
      <c r="F27" s="396" t="s">
        <v>134</v>
      </c>
      <c r="G27" s="396"/>
      <c r="H27" s="399" t="s">
        <v>187</v>
      </c>
      <c r="I27" s="398">
        <v>43</v>
      </c>
      <c r="J27" s="398">
        <v>25</v>
      </c>
      <c r="K27" s="399" t="s">
        <v>178</v>
      </c>
      <c r="L27" s="400" t="s">
        <v>139</v>
      </c>
      <c r="M27" s="397" t="s">
        <v>140</v>
      </c>
      <c r="N27" s="401" t="s">
        <v>126</v>
      </c>
      <c r="O27" s="400" t="s">
        <v>139</v>
      </c>
      <c r="P27" s="402" t="s">
        <v>140</v>
      </c>
      <c r="Q27" s="403" t="s">
        <v>170</v>
      </c>
      <c r="R27" s="454" t="s">
        <v>180</v>
      </c>
      <c r="S27" s="455" t="s">
        <v>181</v>
      </c>
      <c r="T27" s="455" t="s">
        <v>182</v>
      </c>
      <c r="U27" s="456" t="s">
        <v>183</v>
      </c>
      <c r="V27" s="457"/>
      <c r="W27" s="458"/>
      <c r="X27" s="458"/>
      <c r="Y27" s="458"/>
      <c r="Z27" s="459"/>
      <c r="AA27" s="460"/>
      <c r="AB27" s="470" t="s">
        <v>188</v>
      </c>
      <c r="AC27" s="411"/>
      <c r="AD27" s="462"/>
      <c r="AE27" s="463" t="str">
        <f t="shared" si="25"/>
        <v/>
      </c>
      <c r="AF27" s="460"/>
      <c r="AG27" s="464" t="s">
        <v>180</v>
      </c>
      <c r="AH27" s="464" t="s">
        <v>152</v>
      </c>
      <c r="AI27" s="465" t="s">
        <v>163</v>
      </c>
      <c r="AJ27" s="457"/>
      <c r="AK27" s="462"/>
    </row>
    <row r="28" spans="1:37" ht="24" customHeight="1">
      <c r="A28" s="321" t="s">
        <v>127</v>
      </c>
      <c r="B28" s="466" t="str">
        <f ca="1">IFERROR('Compo.Relais(1)'!$AF12,"")</f>
        <v>U</v>
      </c>
      <c r="C28" s="413" t="str">
        <f ca="1">IF(B28&lt;&gt;"",INDEX(Perf.Sprint!$C$4:$C$41,MATCH(B28,Perf.Sprint!$B$4:$B$41,0)),"")</f>
        <v>F</v>
      </c>
      <c r="D28" s="413" t="s">
        <v>149</v>
      </c>
      <c r="E28" s="413" t="str">
        <f ca="1">IFERROR('Compo.Relais(1)'!$AH12,"")</f>
        <v>B</v>
      </c>
      <c r="F28" s="413" t="str">
        <f ca="1">IF(E28&lt;&gt;"",INDEX(Perf.Sprint!$C$4:$C$41,MATCH(E28,Perf.Sprint!$B$4:$B$41,0)),"")</f>
        <v>M</v>
      </c>
      <c r="G28" s="413" t="str">
        <f ca="1">CONCATENATE(C28,F28)</f>
        <v>FM</v>
      </c>
      <c r="H28" s="414"/>
      <c r="I28" s="415">
        <f ca="1">IF(B28&lt;&gt;0,INDEX(Perf.Sprint!$BJ$4:$BJ$40,MATCH(B28,Perf.Sprint!$B$4:$B$40,0)),"")</f>
        <v>7.3000000000000007</v>
      </c>
      <c r="J28" s="415">
        <f ca="1">IF(E28&lt;&gt;0,INDEX(Perf.Sprint!$BG$4:$BG$40,MATCH(E28,Perf.Sprint!$B$4:$B$40,0)),"")</f>
        <v>4.3999999999999995</v>
      </c>
      <c r="K28" s="416">
        <f ca="1">IFERROR(SUM(I28+J28),"")</f>
        <v>11.7</v>
      </c>
      <c r="L28" s="413">
        <f ca="1">IF(K28="","",ROUND($J$2/K28,1))</f>
        <v>5.0999999999999996</v>
      </c>
      <c r="M28" s="417">
        <f ca="1">IF(K28="","",(L28*3600)/1000)</f>
        <v>18.36</v>
      </c>
      <c r="N28" s="473">
        <v>13.18</v>
      </c>
      <c r="O28" s="419">
        <f>IFERROR(IF(N28="","",ROUND($J$2/N28,1)),"")</f>
        <v>4.5999999999999996</v>
      </c>
      <c r="P28" s="420">
        <f>IF(O28&lt;&gt;"",(O28*3600)/1000,"")</f>
        <v>16.559999999999999</v>
      </c>
      <c r="Q28" s="467" t="s">
        <v>41</v>
      </c>
      <c r="R28" s="422" t="s">
        <v>239</v>
      </c>
      <c r="S28" s="423" t="s">
        <v>239</v>
      </c>
      <c r="T28" s="423" t="s">
        <v>238</v>
      </c>
      <c r="U28" s="424" t="s">
        <v>239</v>
      </c>
      <c r="V28" s="425">
        <f>IF(COUNT(N28:N29)=2,SUM(N28:N29),"")</f>
        <v>28.049999999999997</v>
      </c>
      <c r="W28" s="426">
        <f ca="1">IF($V28="","",IF(OR(AND(C28="M",F28="F"),AND(C28="F",F28="M")),VLOOKUP($V28,INDIRECT("rel"),1),VLOOKUP($V28,INDIRECT(C28&amp;"rel"),1)))</f>
        <v>27.4</v>
      </c>
      <c r="X28" s="426">
        <f ca="1">IFERROR(IF(OR(AND(C28="M",F28="F"),AND(C28="F",F28="M")),INDEX(INDIRECT("rel"),MATCH($V28,INDIRECT("rel"))+1),INDEX(INDIRECT(C28&amp;"rel"),MATCH($V28,INDIRECT(C28&amp;"rel"))+1)),"")</f>
        <v>28.4</v>
      </c>
      <c r="Y28" s="426">
        <f ca="1">IF(X28="",W28,IF(V28=W28,W28,X28))</f>
        <v>28.4</v>
      </c>
      <c r="Z28" s="427">
        <f ca="1">IF(Y28="","",IF(OR(AND(C28="M",F28="F"),AND(C28="F",F28="M")),VLOOKUP(Y28,relais,3),IF(C28="F",VLOOKUP(Y28,relaisf,7),VLOOKUP(Y28,relaisg,5))))</f>
        <v>1.75</v>
      </c>
      <c r="AA28" s="428">
        <f t="shared" ref="AA28" ca="1" si="84">IFERROR(AVERAGE(Z28,Z29),"")</f>
        <v>1.75</v>
      </c>
      <c r="AB28" s="471">
        <f ca="1">IFERROR(IF(COUNT($N28)=1,($N28/K28)-1,""),"")</f>
        <v>0.12649572649572649</v>
      </c>
      <c r="AC28" s="430">
        <f ca="1">IF($AB28&lt;&gt;"",INDEX(Barème!$AI$3:$AI$28,MATCH($AB28,Barème!$AH$3:$AH$28,-1)),"")</f>
        <v>0</v>
      </c>
      <c r="AD28" s="428">
        <f t="shared" ref="AD28" ca="1" si="85">IF(COUNT(AC28:AC29)&gt;1,AVERAGE(AC28,AC29),"")</f>
        <v>0</v>
      </c>
      <c r="AE28" s="431">
        <f t="shared" si="25"/>
        <v>0.5</v>
      </c>
      <c r="AF28" s="428">
        <f t="shared" ref="AF28" si="86">IFERROR(AVERAGE(AE28:AE29),"")</f>
        <v>0.75</v>
      </c>
      <c r="AG28" s="432">
        <f t="shared" ref="AG28:AG29" si="87">IF(COUNTA(R28)=1,COUNTIF(R28,"OUI"),"")</f>
        <v>1</v>
      </c>
      <c r="AH28" s="433">
        <f t="shared" ref="AH28:AH29" si="88">IF(COUNTA(U28)=1,COUNTIF(U28,"OUI"),"")</f>
        <v>1</v>
      </c>
      <c r="AI28" s="434">
        <f t="shared" ref="AI28:AI29" si="89">IF(COUNTA(S28:T28)=2,COUNTIF(S28:T28,"OUI"),"")</f>
        <v>1</v>
      </c>
      <c r="AJ28" s="428">
        <f t="shared" ref="AJ28" si="90">IF(COUNT(AG28:AH28,AI29)=3,MROUND(SUM(AG28,AH28,AI29),0.25),"")</f>
        <v>4</v>
      </c>
      <c r="AK28" s="428">
        <f t="shared" ref="AK28:AK29" si="91">IFERROR((AF28/4)*3+(AJ28/4)*3,"")</f>
        <v>3.5625</v>
      </c>
    </row>
    <row r="29" spans="1:37" ht="24" customHeight="1" thickBot="1">
      <c r="A29" s="321" t="s">
        <v>128</v>
      </c>
      <c r="B29" s="468" t="str">
        <f ca="1">E28</f>
        <v>B</v>
      </c>
      <c r="C29" s="436" t="str">
        <f ca="1">IF(B29&lt;&gt;"",INDEX(Perf.Sprint!$C$4:$C$41,MATCH(B29,Perf.Sprint!$B$4:$B$41,0)),"")</f>
        <v>M</v>
      </c>
      <c r="D29" s="436" t="s">
        <v>149</v>
      </c>
      <c r="E29" s="436" t="str">
        <f ca="1">B28</f>
        <v>U</v>
      </c>
      <c r="F29" s="436" t="str">
        <f ca="1">IF(E29&lt;&gt;"",INDEX(Perf.Sprint!$C$4:$C$41,MATCH(E29,Perf.Sprint!$B$4:$B$41,0)),"")</f>
        <v>F</v>
      </c>
      <c r="G29" s="436" t="str">
        <f ca="1">CONCATENATE(F29,C29)</f>
        <v>FM</v>
      </c>
      <c r="H29" s="437"/>
      <c r="I29" s="438">
        <f ca="1">IF(B29&lt;&gt;0,INDEX(Perf.Sprint!$BJ$4:$BJ$40,MATCH(B29,Perf.Sprint!$B$4:$B$40,0)),"")</f>
        <v>6.6</v>
      </c>
      <c r="J29" s="438">
        <f ca="1">IF(E29&lt;&gt;0,INDEX(Perf.Sprint!$BG$4:$BG$40,MATCH(E29,Perf.Sprint!$B$4:$B$40,0)),"")</f>
        <v>4.7000000000000011</v>
      </c>
      <c r="K29" s="438">
        <f ca="1">IFERROR(SUM(I29+J29),"")</f>
        <v>11.3</v>
      </c>
      <c r="L29" s="436">
        <f ca="1">IF(K29="","",ROUND($J$2/K29,1))</f>
        <v>5.3</v>
      </c>
      <c r="M29" s="439">
        <f ca="1">IF(K29="","",(L29*3600)/1000)</f>
        <v>19.079999999999998</v>
      </c>
      <c r="N29" s="474">
        <v>14.87</v>
      </c>
      <c r="O29" s="441">
        <f>IFERROR(IF(N29="","",ROUND($J$2/N29,1)),"")</f>
        <v>4</v>
      </c>
      <c r="P29" s="442">
        <f>IF(O29&lt;&gt;"",(O29*3600)/1000,"")</f>
        <v>14.4</v>
      </c>
      <c r="Q29" s="469" t="s">
        <v>39</v>
      </c>
      <c r="R29" s="444" t="s">
        <v>239</v>
      </c>
      <c r="S29" s="445" t="s">
        <v>239</v>
      </c>
      <c r="T29" s="445" t="s">
        <v>239</v>
      </c>
      <c r="U29" s="446" t="s">
        <v>239</v>
      </c>
      <c r="V29" s="447">
        <f>IF(COUNT(N28:N29)=2,SUM(N28:N29),"")</f>
        <v>28.049999999999997</v>
      </c>
      <c r="W29" s="448">
        <f ca="1">IF($V29="","",IF(OR(AND(C29="M",F29="F"),AND(C29="F",F29="M")),VLOOKUP($V29,INDIRECT("rel"),1),VLOOKUP($V29,INDIRECT(C29&amp;"rel"),1)))</f>
        <v>27.4</v>
      </c>
      <c r="X29" s="448">
        <f ca="1">IFERROR(IF(OR(AND(C29="M",F29="F"),AND(C29="F",F29="M")),INDEX(INDIRECT("rel"),MATCH($V29,INDIRECT("rel"))+1),INDEX(INDIRECT(C29&amp;"rel"),MATCH($V29,INDIRECT(C29&amp;"rel"))+1)),"")</f>
        <v>28.4</v>
      </c>
      <c r="Y29" s="448">
        <f ca="1">IF(X29="",W29,IF(V29=W29,W29,X29))</f>
        <v>28.4</v>
      </c>
      <c r="Z29" s="449">
        <f ca="1">IF(Y29="","",IF(OR(AND(C29="M",F29="F"),AND(C29="F",F29="M")),VLOOKUP(Y29,relais,3),IF(C29="F",VLOOKUP(Y29,relaisf,7),VLOOKUP(Y29,relaisg,5))))</f>
        <v>1.75</v>
      </c>
      <c r="AA29" s="450">
        <f t="shared" ref="AA29" ca="1" si="92">IFERROR(AVERAGE(Z28,Z29),"")</f>
        <v>1.75</v>
      </c>
      <c r="AB29" s="472">
        <f ca="1">IFERROR(IF(COUNT($N29)=1,($N29/K29)-1,""),"")</f>
        <v>0.3159292035398229</v>
      </c>
      <c r="AC29" s="452">
        <f ca="1">IF($AB29&lt;&gt;"",INDEX(Barème!$AI$3:$AI$28,MATCH($AB29,Barème!$AH$3:$AH$28,-1)),"")</f>
        <v>0</v>
      </c>
      <c r="AD29" s="450">
        <f t="shared" ref="AD29" ca="1" si="93">IF(COUNT(AC28:AC29)&gt;1,AVERAGE(AC28,AC29),"")</f>
        <v>0</v>
      </c>
      <c r="AE29" s="453">
        <f t="shared" si="25"/>
        <v>1</v>
      </c>
      <c r="AF29" s="450">
        <f t="shared" ref="AF29" si="94">IFERROR(AVERAGE(AE29,AE28),"")</f>
        <v>0.75</v>
      </c>
      <c r="AG29" s="432">
        <f t="shared" si="87"/>
        <v>1</v>
      </c>
      <c r="AH29" s="433">
        <f t="shared" si="88"/>
        <v>1</v>
      </c>
      <c r="AI29" s="434">
        <f t="shared" si="89"/>
        <v>2</v>
      </c>
      <c r="AJ29" s="450">
        <f t="shared" ref="AJ29" si="95">IF(COUNT(AG29:AH29,AI28)=3,MROUND(SUM(AG29,AH29,AI28),0.25),"")</f>
        <v>3</v>
      </c>
      <c r="AK29" s="450">
        <f t="shared" si="91"/>
        <v>2.8125</v>
      </c>
    </row>
    <row r="30" spans="1:37" ht="15.75" thickBot="1">
      <c r="A30" s="330">
        <v>10</v>
      </c>
      <c r="B30" s="394" t="s">
        <v>176</v>
      </c>
      <c r="C30" s="395" t="s">
        <v>134</v>
      </c>
      <c r="D30" s="396"/>
      <c r="E30" s="396" t="s">
        <v>177</v>
      </c>
      <c r="F30" s="396" t="s">
        <v>134</v>
      </c>
      <c r="G30" s="396"/>
      <c r="H30" s="399" t="s">
        <v>187</v>
      </c>
      <c r="I30" s="398">
        <v>44</v>
      </c>
      <c r="J30" s="398">
        <v>25</v>
      </c>
      <c r="K30" s="399" t="s">
        <v>178</v>
      </c>
      <c r="L30" s="400" t="s">
        <v>139</v>
      </c>
      <c r="M30" s="397" t="s">
        <v>140</v>
      </c>
      <c r="N30" s="401" t="s">
        <v>126</v>
      </c>
      <c r="O30" s="400" t="s">
        <v>139</v>
      </c>
      <c r="P30" s="402" t="s">
        <v>140</v>
      </c>
      <c r="Q30" s="403" t="s">
        <v>170</v>
      </c>
      <c r="R30" s="454" t="s">
        <v>180</v>
      </c>
      <c r="S30" s="455" t="s">
        <v>181</v>
      </c>
      <c r="T30" s="455" t="s">
        <v>182</v>
      </c>
      <c r="U30" s="456" t="s">
        <v>183</v>
      </c>
      <c r="V30" s="457"/>
      <c r="W30" s="458"/>
      <c r="X30" s="458"/>
      <c r="Y30" s="458"/>
      <c r="Z30" s="459"/>
      <c r="AA30" s="460"/>
      <c r="AB30" s="470" t="s">
        <v>188</v>
      </c>
      <c r="AC30" s="411"/>
      <c r="AD30" s="462"/>
      <c r="AE30" s="463" t="str">
        <f t="shared" si="25"/>
        <v/>
      </c>
      <c r="AF30" s="460"/>
      <c r="AG30" s="464" t="s">
        <v>180</v>
      </c>
      <c r="AH30" s="464" t="s">
        <v>152</v>
      </c>
      <c r="AI30" s="465" t="s">
        <v>163</v>
      </c>
      <c r="AJ30" s="457"/>
      <c r="AK30" s="462"/>
    </row>
    <row r="31" spans="1:37" ht="24" customHeight="1">
      <c r="A31" s="321" t="s">
        <v>127</v>
      </c>
      <c r="B31" s="466" t="str">
        <f ca="1">IFERROR('Compo.Relais(1)'!$AF13,"")</f>
        <v/>
      </c>
      <c r="C31" s="413" t="str">
        <f ca="1">IF(B31&lt;&gt;"",INDEX(Perf.Sprint!$C$4:$C$41,MATCH(B31,Perf.Sprint!$B$4:$B$41,0)),"")</f>
        <v/>
      </c>
      <c r="D31" s="413" t="s">
        <v>149</v>
      </c>
      <c r="E31" s="413" t="str">
        <f ca="1">IFERROR('Compo.Relais(1)'!$AH13,"")</f>
        <v/>
      </c>
      <c r="F31" s="413" t="str">
        <f ca="1">IF(E31&lt;&gt;"",INDEX(Perf.Sprint!$C$4:$C$41,MATCH(E31,Perf.Sprint!$B$4:$B$41,0)),"")</f>
        <v/>
      </c>
      <c r="G31" s="413" t="str">
        <f ca="1">CONCATENATE(C31,F31)</f>
        <v/>
      </c>
      <c r="H31" s="414"/>
      <c r="I31" s="415" t="str">
        <f ca="1">IF(B31&lt;&gt;0,INDEX(Perf.Sprint!$BJ$4:$BJ$40,MATCH(B31,Perf.Sprint!$B$4:$B$40,0)),"")</f>
        <v/>
      </c>
      <c r="J31" s="415" t="str">
        <f ca="1">IF(E31&lt;&gt;0,INDEX(Perf.Sprint!$BG$4:$BG$40,MATCH(E31,Perf.Sprint!$B$4:$B$40,0)),"")</f>
        <v/>
      </c>
      <c r="K31" s="416" t="str">
        <f ca="1">IFERROR(SUM(I31+J31),"")</f>
        <v/>
      </c>
      <c r="L31" s="413" t="str">
        <f ca="1">IF(K31="","",ROUND($J$2/K31,1))</f>
        <v/>
      </c>
      <c r="M31" s="417" t="str">
        <f ca="1">IF(K31="","",(L31*3600)/1000)</f>
        <v/>
      </c>
      <c r="N31" s="473"/>
      <c r="O31" s="419" t="str">
        <f>IFERROR(IF(N31="","",ROUND($J$2/N31,1)),"")</f>
        <v/>
      </c>
      <c r="P31" s="420" t="str">
        <f>IF(O31&lt;&gt;"",(O31*3600)/1000,"")</f>
        <v/>
      </c>
      <c r="Q31" s="467"/>
      <c r="R31" s="422"/>
      <c r="S31" s="423"/>
      <c r="T31" s="423"/>
      <c r="U31" s="424"/>
      <c r="V31" s="425" t="str">
        <f>IF(COUNT(N31:N32)=2,SUM(N31:N32),"")</f>
        <v/>
      </c>
      <c r="W31" s="426" t="str">
        <f ca="1">IF($V31="","",IF(OR(AND(C31="M",F31="F"),AND(C31="F",F31="M")),VLOOKUP($V31,INDIRECT("rel"),1),VLOOKUP($V31,INDIRECT(C31&amp;"rel"),1)))</f>
        <v/>
      </c>
      <c r="X31" s="426" t="str">
        <f ca="1">IFERROR(IF(OR(AND(C31="M",F31="F"),AND(C31="F",F31="M")),INDEX(INDIRECT("rel"),MATCH($V31,INDIRECT("rel"))+1),INDEX(INDIRECT(C31&amp;"rel"),MATCH($V31,INDIRECT(C31&amp;"rel"))+1)),"")</f>
        <v/>
      </c>
      <c r="Y31" s="426" t="str">
        <f ca="1">IF(X31="",W31,IF(V31=W31,W31,X31))</f>
        <v/>
      </c>
      <c r="Z31" s="427" t="str">
        <f ca="1">IF(Y31="","",IF(OR(AND(C31="M",F31="F"),AND(C31="F",F31="M")),VLOOKUP(Y31,relais,3),IF(C31="F",VLOOKUP(Y31,relaisf,7),VLOOKUP(Y31,relaisg,5))))</f>
        <v/>
      </c>
      <c r="AA31" s="428" t="str">
        <f t="shared" ref="AA31" ca="1" si="96">IFERROR(AVERAGE(Z31,Z32),"")</f>
        <v/>
      </c>
      <c r="AB31" s="471" t="str">
        <f>IFERROR(IF(COUNT($N31)=1,($N31/K31)-1,""),"")</f>
        <v/>
      </c>
      <c r="AC31" s="430" t="str">
        <f>IF($AB31&lt;&gt;"",INDEX(Barème!$AI$3:$AI$28,MATCH($AB31,Barème!$AH$3:$AH$28,-1)),"")</f>
        <v/>
      </c>
      <c r="AD31" s="428" t="str">
        <f t="shared" ref="AD31" si="97">IF(COUNT(AC31:AC32)&gt;1,AVERAGE(AC31,AC32),"")</f>
        <v/>
      </c>
      <c r="AE31" s="431" t="str">
        <f t="shared" si="25"/>
        <v/>
      </c>
      <c r="AF31" s="428" t="str">
        <f t="shared" ref="AF31" si="98">IFERROR(AVERAGE(AE31:AE32),"")</f>
        <v/>
      </c>
      <c r="AG31" s="432" t="str">
        <f t="shared" ref="AG31:AG32" si="99">IF(COUNTA(R31)=1,COUNTIF(R31,"OUI"),"")</f>
        <v/>
      </c>
      <c r="AH31" s="433" t="str">
        <f t="shared" ref="AH31:AH32" si="100">IF(COUNTA(U31)=1,COUNTIF(U31,"OUI"),"")</f>
        <v/>
      </c>
      <c r="AI31" s="434" t="str">
        <f t="shared" ref="AI31:AI32" si="101">IF(COUNTA(S31:T31)=2,COUNTIF(S31:T31,"OUI"),"")</f>
        <v/>
      </c>
      <c r="AJ31" s="428" t="str">
        <f t="shared" ref="AJ31" si="102">IF(COUNT(AG31:AH31,AI32)=3,MROUND(SUM(AG31,AH31,AI32),0.25),"")</f>
        <v/>
      </c>
      <c r="AK31" s="428" t="str">
        <f t="shared" ref="AK31:AK32" si="103">IFERROR((AF31/4)*3+(AJ31/4)*3,"")</f>
        <v/>
      </c>
    </row>
    <row r="32" spans="1:37" ht="24" customHeight="1" thickBot="1">
      <c r="A32" s="321" t="s">
        <v>128</v>
      </c>
      <c r="B32" s="468" t="str">
        <f ca="1">E31</f>
        <v/>
      </c>
      <c r="C32" s="436" t="str">
        <f ca="1">IF(B32&lt;&gt;"",INDEX(Perf.Sprint!$C$4:$C$41,MATCH(B32,Perf.Sprint!$B$4:$B$41,0)),"")</f>
        <v/>
      </c>
      <c r="D32" s="436" t="s">
        <v>149</v>
      </c>
      <c r="E32" s="436" t="str">
        <f ca="1">B31</f>
        <v/>
      </c>
      <c r="F32" s="436" t="str">
        <f ca="1">IF(E32&lt;&gt;"",INDEX(Perf.Sprint!$C$4:$C$41,MATCH(E32,Perf.Sprint!$B$4:$B$41,0)),"")</f>
        <v/>
      </c>
      <c r="G32" s="436" t="str">
        <f ca="1">CONCATENATE(F32,C32)</f>
        <v/>
      </c>
      <c r="H32" s="437"/>
      <c r="I32" s="438" t="str">
        <f ca="1">IF(B32&lt;&gt;0,INDEX(Perf.Sprint!$BJ$4:$BJ$40,MATCH(B32,Perf.Sprint!$B$4:$B$40,0)),"")</f>
        <v/>
      </c>
      <c r="J32" s="438" t="str">
        <f ca="1">IF(E32&lt;&gt;0,INDEX(Perf.Sprint!$BG$4:$BG$40,MATCH(E32,Perf.Sprint!$B$4:$B$40,0)),"")</f>
        <v/>
      </c>
      <c r="K32" s="438" t="str">
        <f ca="1">IFERROR(SUM(I32+J32),"")</f>
        <v/>
      </c>
      <c r="L32" s="436" t="str">
        <f ca="1">IF(K32="","",ROUND($J$2/K32,1))</f>
        <v/>
      </c>
      <c r="M32" s="439" t="str">
        <f ca="1">IF(K32="","",(L32*3600)/1000)</f>
        <v/>
      </c>
      <c r="N32" s="474"/>
      <c r="O32" s="441" t="str">
        <f>IFERROR(IF(N32="","",ROUND($J$2/N32,1)),"")</f>
        <v/>
      </c>
      <c r="P32" s="442" t="str">
        <f>IF(O32&lt;&gt;"",(O32*3600)/1000,"")</f>
        <v/>
      </c>
      <c r="Q32" s="469"/>
      <c r="R32" s="444"/>
      <c r="S32" s="445"/>
      <c r="T32" s="445"/>
      <c r="U32" s="446"/>
      <c r="V32" s="447" t="str">
        <f>IF(COUNT(N31:N32)=2,SUM(N31:N32),"")</f>
        <v/>
      </c>
      <c r="W32" s="448" t="str">
        <f ca="1">IF($V32="","",IF(OR(AND(C32="M",F32="F"),AND(C32="F",F32="M")),VLOOKUP($V32,INDIRECT("rel"),1),VLOOKUP($V32,INDIRECT(C32&amp;"rel"),1)))</f>
        <v/>
      </c>
      <c r="X32" s="448" t="str">
        <f ca="1">IFERROR(IF(OR(AND(C32="M",F32="F"),AND(C32="F",F32="M")),INDEX(INDIRECT("rel"),MATCH($V32,INDIRECT("rel"))+1),INDEX(INDIRECT(C32&amp;"rel"),MATCH($V32,INDIRECT(C32&amp;"rel"))+1)),"")</f>
        <v/>
      </c>
      <c r="Y32" s="448" t="str">
        <f ca="1">IF(X32="",W32,IF(V32=W32,W32,X32))</f>
        <v/>
      </c>
      <c r="Z32" s="449" t="str">
        <f ca="1">IF(Y32="","",IF(OR(AND(C32="M",F32="F"),AND(C32="F",F32="M")),VLOOKUP(Y32,relais,3),IF(C32="F",VLOOKUP(Y32,relaisf,7),VLOOKUP(Y32,relaisg,5))))</f>
        <v/>
      </c>
      <c r="AA32" s="450" t="str">
        <f t="shared" ref="AA32" ca="1" si="104">IFERROR(AVERAGE(Z31,Z32),"")</f>
        <v/>
      </c>
      <c r="AB32" s="472" t="str">
        <f>IFERROR(IF(COUNT($N32)=1,($N32/K32)-1,""),"")</f>
        <v/>
      </c>
      <c r="AC32" s="452" t="str">
        <f>IF($AB32&lt;&gt;"",INDEX(Barème!$AI$3:$AI$28,MATCH($AB32,Barème!$AH$3:$AH$28,-1)),"")</f>
        <v/>
      </c>
      <c r="AD32" s="450" t="str">
        <f t="shared" ref="AD32" si="105">IF(COUNT(AC31:AC32)&gt;1,AVERAGE(AC31,AC32),"")</f>
        <v/>
      </c>
      <c r="AE32" s="453" t="str">
        <f t="shared" si="25"/>
        <v/>
      </c>
      <c r="AF32" s="450" t="str">
        <f t="shared" ref="AF32" si="106">IFERROR(AVERAGE(AE32,AE31),"")</f>
        <v/>
      </c>
      <c r="AG32" s="432" t="str">
        <f t="shared" si="99"/>
        <v/>
      </c>
      <c r="AH32" s="433" t="str">
        <f t="shared" si="100"/>
        <v/>
      </c>
      <c r="AI32" s="434" t="str">
        <f t="shared" si="101"/>
        <v/>
      </c>
      <c r="AJ32" s="450" t="str">
        <f t="shared" ref="AJ32" si="107">IF(COUNT(AG32:AH32,AI31)=3,MROUND(SUM(AG32,AH32,AI31),0.25),"")</f>
        <v/>
      </c>
      <c r="AK32" s="450" t="str">
        <f t="shared" si="103"/>
        <v/>
      </c>
    </row>
    <row r="33" spans="1:37" ht="15.75" thickBot="1">
      <c r="A33" s="330">
        <v>11</v>
      </c>
      <c r="B33" s="394" t="s">
        <v>176</v>
      </c>
      <c r="C33" s="395" t="s">
        <v>134</v>
      </c>
      <c r="D33" s="396"/>
      <c r="E33" s="396" t="s">
        <v>177</v>
      </c>
      <c r="F33" s="396" t="s">
        <v>134</v>
      </c>
      <c r="G33" s="396"/>
      <c r="H33" s="399" t="s">
        <v>187</v>
      </c>
      <c r="I33" s="398">
        <v>45</v>
      </c>
      <c r="J33" s="398">
        <v>25</v>
      </c>
      <c r="K33" s="399" t="s">
        <v>178</v>
      </c>
      <c r="L33" s="400" t="s">
        <v>139</v>
      </c>
      <c r="M33" s="397" t="s">
        <v>140</v>
      </c>
      <c r="N33" s="401" t="s">
        <v>126</v>
      </c>
      <c r="O33" s="400" t="s">
        <v>139</v>
      </c>
      <c r="P33" s="402" t="s">
        <v>140</v>
      </c>
      <c r="Q33" s="403" t="s">
        <v>170</v>
      </c>
      <c r="R33" s="454" t="s">
        <v>180</v>
      </c>
      <c r="S33" s="455" t="s">
        <v>181</v>
      </c>
      <c r="T33" s="455" t="s">
        <v>182</v>
      </c>
      <c r="U33" s="456" t="s">
        <v>183</v>
      </c>
      <c r="V33" s="457"/>
      <c r="W33" s="458"/>
      <c r="X33" s="458"/>
      <c r="Y33" s="458"/>
      <c r="Z33" s="459"/>
      <c r="AA33" s="460"/>
      <c r="AB33" s="470" t="s">
        <v>188</v>
      </c>
      <c r="AC33" s="411"/>
      <c r="AD33" s="462"/>
      <c r="AE33" s="463" t="str">
        <f t="shared" si="25"/>
        <v/>
      </c>
      <c r="AF33" s="460"/>
      <c r="AG33" s="464" t="s">
        <v>180</v>
      </c>
      <c r="AH33" s="464" t="s">
        <v>152</v>
      </c>
      <c r="AI33" s="465" t="s">
        <v>163</v>
      </c>
      <c r="AJ33" s="457"/>
      <c r="AK33" s="462"/>
    </row>
    <row r="34" spans="1:37" ht="24" customHeight="1">
      <c r="A34" s="321" t="s">
        <v>127</v>
      </c>
      <c r="B34" s="466" t="str">
        <f ca="1">IFERROR('Compo.Relais(1)'!$AF14,"")</f>
        <v/>
      </c>
      <c r="C34" s="413" t="str">
        <f ca="1">IF(B34&lt;&gt;"",INDEX(Perf.Sprint!$C$4:$C$41,MATCH(B34,Perf.Sprint!$B$4:$B$41,0)),"")</f>
        <v/>
      </c>
      <c r="D34" s="413" t="s">
        <v>149</v>
      </c>
      <c r="E34" s="413" t="str">
        <f ca="1">IFERROR('Compo.Relais(1)'!$AH14,"")</f>
        <v/>
      </c>
      <c r="F34" s="413" t="str">
        <f ca="1">IF(E34&lt;&gt;"",INDEX(Perf.Sprint!$C$4:$C$41,MATCH(E34,Perf.Sprint!$B$4:$B$41,0)),"")</f>
        <v/>
      </c>
      <c r="G34" s="413" t="str">
        <f ca="1">CONCATENATE(C34,F34)</f>
        <v/>
      </c>
      <c r="H34" s="414"/>
      <c r="I34" s="415" t="str">
        <f ca="1">IF(B34&lt;&gt;0,INDEX(Perf.Sprint!$BJ$4:$BJ$40,MATCH(B34,Perf.Sprint!$B$4:$B$40,0)),"")</f>
        <v/>
      </c>
      <c r="J34" s="415" t="str">
        <f ca="1">IF(E34&lt;&gt;0,INDEX(Perf.Sprint!$BG$4:$BG$40,MATCH(E34,Perf.Sprint!$B$4:$B$40,0)),"")</f>
        <v/>
      </c>
      <c r="K34" s="416" t="str">
        <f ca="1">IFERROR(SUM(I34+J34),"")</f>
        <v/>
      </c>
      <c r="L34" s="413" t="str">
        <f ca="1">IF(K34="","",ROUND($J$2/K34,1))</f>
        <v/>
      </c>
      <c r="M34" s="417" t="str">
        <f ca="1">IF(K34="","",(L34*3600)/1000)</f>
        <v/>
      </c>
      <c r="N34" s="473"/>
      <c r="O34" s="419" t="str">
        <f>IFERROR(IF(N34="","",ROUND($J$2/N34,1)),"")</f>
        <v/>
      </c>
      <c r="P34" s="420" t="str">
        <f>IF(O34&lt;&gt;"",(O34*3600)/1000,"")</f>
        <v/>
      </c>
      <c r="Q34" s="467"/>
      <c r="R34" s="422"/>
      <c r="S34" s="423"/>
      <c r="T34" s="423"/>
      <c r="U34" s="424"/>
      <c r="V34" s="425" t="str">
        <f>IF(COUNT(N34:N35)=2,SUM(N34:N35),"")</f>
        <v/>
      </c>
      <c r="W34" s="426" t="str">
        <f ca="1">IF($V34="","",IF(OR(AND(C34="M",F34="F"),AND(C34="F",F34="M")),VLOOKUP($V34,INDIRECT("rel"),1),VLOOKUP($V34,INDIRECT(C34&amp;"rel"),1)))</f>
        <v/>
      </c>
      <c r="X34" s="426" t="str">
        <f ca="1">IFERROR(IF(OR(AND(C34="M",F34="F"),AND(C34="F",F34="M")),INDEX(INDIRECT("rel"),MATCH($V34,INDIRECT("rel"))+1),INDEX(INDIRECT(C34&amp;"rel"),MATCH($V34,INDIRECT(C34&amp;"rel"))+1)),"")</f>
        <v/>
      </c>
      <c r="Y34" s="426" t="str">
        <f ca="1">IF(X34="",W34,IF(V34=W34,W34,X34))</f>
        <v/>
      </c>
      <c r="Z34" s="427" t="str">
        <f ca="1">IF(Y34="","",IF(OR(AND(C34="M",F34="F"),AND(C34="F",F34="M")),VLOOKUP(Y34,relais,3),IF(C34="F",VLOOKUP(Y34,relaisf,7),VLOOKUP(Y34,relaisg,5))))</f>
        <v/>
      </c>
      <c r="AA34" s="428" t="str">
        <f t="shared" ref="AA34" ca="1" si="108">IFERROR(AVERAGE(Z34,Z35),"")</f>
        <v/>
      </c>
      <c r="AB34" s="471" t="str">
        <f>IFERROR(IF(COUNT($N34)=1,($N34/K34)-1,""),"")</f>
        <v/>
      </c>
      <c r="AC34" s="430" t="str">
        <f>IF($AB34&lt;&gt;"",INDEX(Barème!$AI$3:$AI$28,MATCH($AB34,Barème!$AH$3:$AH$28,-1)),"")</f>
        <v/>
      </c>
      <c r="AD34" s="428" t="str">
        <f t="shared" ref="AD34" si="109">IF(COUNT(AC34:AC35)&gt;1,AVERAGE(AC34,AC35),"")</f>
        <v/>
      </c>
      <c r="AE34" s="431" t="str">
        <f t="shared" si="25"/>
        <v/>
      </c>
      <c r="AF34" s="428" t="str">
        <f t="shared" ref="AF34" si="110">IFERROR(AVERAGE(AE34:AE35),"")</f>
        <v/>
      </c>
      <c r="AG34" s="432" t="str">
        <f t="shared" ref="AG34:AG35" si="111">IF(COUNTA(R34)=1,COUNTIF(R34,"OUI"),"")</f>
        <v/>
      </c>
      <c r="AH34" s="433" t="str">
        <f t="shared" ref="AH34:AH35" si="112">IF(COUNTA(U34)=1,COUNTIF(U34,"OUI"),"")</f>
        <v/>
      </c>
      <c r="AI34" s="434" t="str">
        <f t="shared" ref="AI34:AI35" si="113">IF(COUNTA(S34:T34)=2,COUNTIF(S34:T34,"OUI"),"")</f>
        <v/>
      </c>
      <c r="AJ34" s="428" t="str">
        <f t="shared" ref="AJ34" si="114">IF(COUNT(AG34:AH34,AI35)=3,MROUND(SUM(AG34,AH34,AI35),0.25),"")</f>
        <v/>
      </c>
      <c r="AK34" s="428" t="str">
        <f t="shared" ref="AK34:AK35" si="115">IFERROR((AF34/4)*3+(AJ34/4)*3,"")</f>
        <v/>
      </c>
    </row>
    <row r="35" spans="1:37" ht="24" customHeight="1" thickBot="1">
      <c r="A35" s="321" t="s">
        <v>128</v>
      </c>
      <c r="B35" s="468" t="str">
        <f ca="1">E34</f>
        <v/>
      </c>
      <c r="C35" s="436" t="str">
        <f ca="1">IF(B35&lt;&gt;"",INDEX(Perf.Sprint!$C$4:$C$41,MATCH(B35,Perf.Sprint!$B$4:$B$41,0)),"")</f>
        <v/>
      </c>
      <c r="D35" s="436" t="s">
        <v>149</v>
      </c>
      <c r="E35" s="436" t="str">
        <f ca="1">B34</f>
        <v/>
      </c>
      <c r="F35" s="436" t="str">
        <f ca="1">IF(E35&lt;&gt;"",INDEX(Perf.Sprint!$C$4:$C$41,MATCH(E35,Perf.Sprint!$B$4:$B$41,0)),"")</f>
        <v/>
      </c>
      <c r="G35" s="436" t="str">
        <f ca="1">CONCATENATE(F35,C35)</f>
        <v/>
      </c>
      <c r="H35" s="437"/>
      <c r="I35" s="438" t="str">
        <f ca="1">IF(B35&lt;&gt;0,INDEX(Perf.Sprint!$BJ$4:$BJ$40,MATCH(B35,Perf.Sprint!$B$4:$B$40,0)),"")</f>
        <v/>
      </c>
      <c r="J35" s="438" t="str">
        <f ca="1">IF(E35&lt;&gt;0,INDEX(Perf.Sprint!$BG$4:$BG$40,MATCH(E35,Perf.Sprint!$B$4:$B$40,0)),"")</f>
        <v/>
      </c>
      <c r="K35" s="438" t="str">
        <f ca="1">IFERROR(SUM(I35+J35),"")</f>
        <v/>
      </c>
      <c r="L35" s="436" t="str">
        <f ca="1">IF(K35="","",ROUND($J$2/K35,1))</f>
        <v/>
      </c>
      <c r="M35" s="439" t="str">
        <f ca="1">IF(K35="","",(L35*3600)/1000)</f>
        <v/>
      </c>
      <c r="N35" s="474"/>
      <c r="O35" s="441" t="str">
        <f>IFERROR(IF(N35="","",ROUND($J$2/N35,1)),"")</f>
        <v/>
      </c>
      <c r="P35" s="442" t="str">
        <f>IF(O35&lt;&gt;"",(O35*3600)/1000,"")</f>
        <v/>
      </c>
      <c r="Q35" s="469"/>
      <c r="R35" s="444"/>
      <c r="S35" s="445"/>
      <c r="T35" s="445"/>
      <c r="U35" s="446"/>
      <c r="V35" s="447" t="str">
        <f>IF(COUNT(N34:N35)=2,SUM(N34:N35),"")</f>
        <v/>
      </c>
      <c r="W35" s="448" t="str">
        <f ca="1">IF($V35="","",IF(OR(AND(C35="M",F35="F"),AND(C35="F",F35="M")),VLOOKUP($V35,INDIRECT("rel"),1),VLOOKUP($V35,INDIRECT(C35&amp;"rel"),1)))</f>
        <v/>
      </c>
      <c r="X35" s="448" t="str">
        <f ca="1">IFERROR(IF(OR(AND(C35="M",F35="F"),AND(C35="F",F35="M")),INDEX(INDIRECT("rel"),MATCH($V35,INDIRECT("rel"))+1),INDEX(INDIRECT(C35&amp;"rel"),MATCH($V35,INDIRECT(C35&amp;"rel"))+1)),"")</f>
        <v/>
      </c>
      <c r="Y35" s="448" t="str">
        <f ca="1">IF(X35="",W35,IF(V35=W35,W35,X35))</f>
        <v/>
      </c>
      <c r="Z35" s="449" t="str">
        <f ca="1">IF(Y35="","",IF(OR(AND(C35="M",F35="F"),AND(C35="F",F35="M")),VLOOKUP(Y35,relais,3),IF(C35="F",VLOOKUP(Y35,relaisf,7),VLOOKUP(Y35,relaisg,5))))</f>
        <v/>
      </c>
      <c r="AA35" s="450" t="str">
        <f t="shared" ref="AA35" ca="1" si="116">IFERROR(AVERAGE(Z34,Z35),"")</f>
        <v/>
      </c>
      <c r="AB35" s="472" t="str">
        <f>IFERROR(IF(COUNT($N35)=1,($N35/K35)-1,""),"")</f>
        <v/>
      </c>
      <c r="AC35" s="452" t="str">
        <f>IF($AB35&lt;&gt;"",INDEX(Barème!$AI$3:$AI$28,MATCH($AB35,Barème!$AH$3:$AH$28,-1)),"")</f>
        <v/>
      </c>
      <c r="AD35" s="450" t="str">
        <f t="shared" ref="AD35" si="117">IF(COUNT(AC34:AC35)&gt;1,AVERAGE(AC34,AC35),"")</f>
        <v/>
      </c>
      <c r="AE35" s="453" t="str">
        <f t="shared" si="25"/>
        <v/>
      </c>
      <c r="AF35" s="450" t="str">
        <f t="shared" ref="AF35" si="118">IFERROR(AVERAGE(AE35,AE34),"")</f>
        <v/>
      </c>
      <c r="AG35" s="432" t="str">
        <f t="shared" si="111"/>
        <v/>
      </c>
      <c r="AH35" s="433" t="str">
        <f t="shared" si="112"/>
        <v/>
      </c>
      <c r="AI35" s="434" t="str">
        <f t="shared" si="113"/>
        <v/>
      </c>
      <c r="AJ35" s="450" t="str">
        <f t="shared" ref="AJ35" si="119">IF(COUNT(AG35:AH35,AI34)=3,MROUND(SUM(AG35,AH35,AI34),0.25),"")</f>
        <v/>
      </c>
      <c r="AK35" s="450" t="str">
        <f t="shared" si="115"/>
        <v/>
      </c>
    </row>
    <row r="36" spans="1:37" ht="15.75" thickBot="1">
      <c r="A36" s="330">
        <v>12</v>
      </c>
      <c r="B36" s="394" t="s">
        <v>176</v>
      </c>
      <c r="C36" s="395" t="s">
        <v>134</v>
      </c>
      <c r="D36" s="396"/>
      <c r="E36" s="396" t="s">
        <v>177</v>
      </c>
      <c r="F36" s="396" t="s">
        <v>134</v>
      </c>
      <c r="G36" s="396"/>
      <c r="H36" s="399" t="s">
        <v>187</v>
      </c>
      <c r="I36" s="398">
        <v>46</v>
      </c>
      <c r="J36" s="398">
        <v>25</v>
      </c>
      <c r="K36" s="399" t="s">
        <v>178</v>
      </c>
      <c r="L36" s="400" t="s">
        <v>139</v>
      </c>
      <c r="M36" s="397" t="s">
        <v>140</v>
      </c>
      <c r="N36" s="401" t="s">
        <v>126</v>
      </c>
      <c r="O36" s="400" t="s">
        <v>139</v>
      </c>
      <c r="P36" s="402" t="s">
        <v>140</v>
      </c>
      <c r="Q36" s="403" t="s">
        <v>170</v>
      </c>
      <c r="R36" s="454" t="s">
        <v>180</v>
      </c>
      <c r="S36" s="455" t="s">
        <v>181</v>
      </c>
      <c r="T36" s="455" t="s">
        <v>182</v>
      </c>
      <c r="U36" s="456" t="s">
        <v>183</v>
      </c>
      <c r="V36" s="457"/>
      <c r="W36" s="458"/>
      <c r="X36" s="458"/>
      <c r="Y36" s="458"/>
      <c r="Z36" s="459"/>
      <c r="AA36" s="460"/>
      <c r="AB36" s="470" t="s">
        <v>188</v>
      </c>
      <c r="AC36" s="411"/>
      <c r="AD36" s="462"/>
      <c r="AE36" s="463" t="str">
        <f t="shared" si="25"/>
        <v/>
      </c>
      <c r="AF36" s="460"/>
      <c r="AG36" s="464" t="s">
        <v>180</v>
      </c>
      <c r="AH36" s="464" t="s">
        <v>152</v>
      </c>
      <c r="AI36" s="465" t="s">
        <v>163</v>
      </c>
      <c r="AJ36" s="457"/>
      <c r="AK36" s="462"/>
    </row>
    <row r="37" spans="1:37" ht="24" customHeight="1">
      <c r="A37" s="321" t="s">
        <v>127</v>
      </c>
      <c r="B37" s="466" t="str">
        <f ca="1">IFERROR('Compo.Relais(1)'!$AF15,"")</f>
        <v/>
      </c>
      <c r="C37" s="413" t="str">
        <f ca="1">IF(B37&lt;&gt;"",INDEX(Perf.Sprint!$C$4:$C$41,MATCH(B37,Perf.Sprint!$B$4:$B$41,0)),"")</f>
        <v/>
      </c>
      <c r="D37" s="413" t="s">
        <v>149</v>
      </c>
      <c r="E37" s="413" t="str">
        <f ca="1">IFERROR('Compo.Relais(1)'!$AH15,"")</f>
        <v/>
      </c>
      <c r="F37" s="413" t="str">
        <f ca="1">IF(E37&lt;&gt;"",INDEX(Perf.Sprint!$C$4:$C$41,MATCH(E37,Perf.Sprint!$B$4:$B$41,0)),"")</f>
        <v/>
      </c>
      <c r="G37" s="413" t="str">
        <f ca="1">CONCATENATE(C37,F37)</f>
        <v/>
      </c>
      <c r="H37" s="414"/>
      <c r="I37" s="415" t="str">
        <f ca="1">IF(B37&lt;&gt;0,INDEX(Perf.Sprint!$BJ$4:$BJ$40,MATCH(B37,Perf.Sprint!$B$4:$B$40,0)),"")</f>
        <v/>
      </c>
      <c r="J37" s="415" t="str">
        <f ca="1">IF(E37&lt;&gt;0,INDEX(Perf.Sprint!$BG$4:$BG$40,MATCH(E37,Perf.Sprint!$B$4:$B$40,0)),"")</f>
        <v/>
      </c>
      <c r="K37" s="416" t="str">
        <f ca="1">IFERROR(SUM(I37+J37),"")</f>
        <v/>
      </c>
      <c r="L37" s="413" t="str">
        <f ca="1">IF(K37="","",ROUND($J$2/K37,1))</f>
        <v/>
      </c>
      <c r="M37" s="417" t="str">
        <f ca="1">IF(K37="","",(L37*3600)/1000)</f>
        <v/>
      </c>
      <c r="N37" s="473"/>
      <c r="O37" s="419" t="str">
        <f>IFERROR(IF(N37="","",ROUND($J$2/N37,1)),"")</f>
        <v/>
      </c>
      <c r="P37" s="420" t="str">
        <f>IF(O37&lt;&gt;"",(O37*3600)/1000,"")</f>
        <v/>
      </c>
      <c r="Q37" s="467"/>
      <c r="R37" s="422"/>
      <c r="S37" s="423"/>
      <c r="T37" s="423"/>
      <c r="U37" s="424"/>
      <c r="V37" s="425" t="str">
        <f>IF(COUNT(N37:N38)=2,SUM(N37:N38),"")</f>
        <v/>
      </c>
      <c r="W37" s="426" t="str">
        <f ca="1">IF($V37="","",IF(OR(AND(C37="M",F37="F"),AND(C37="F",F37="M")),VLOOKUP($V37,INDIRECT("rel"),1),VLOOKUP($V37,INDIRECT(C37&amp;"rel"),1)))</f>
        <v/>
      </c>
      <c r="X37" s="426" t="str">
        <f ca="1">IFERROR(IF(OR(AND(C37="M",F37="F"),AND(C37="F",F37="M")),INDEX(INDIRECT("rel"),MATCH($V37,INDIRECT("rel"))+1),INDEX(INDIRECT(C37&amp;"rel"),MATCH($V37,INDIRECT(C37&amp;"rel"))+1)),"")</f>
        <v/>
      </c>
      <c r="Y37" s="426" t="str">
        <f ca="1">IF(X37="",W37,IF(V37=W37,W37,X37))</f>
        <v/>
      </c>
      <c r="Z37" s="427" t="str">
        <f ca="1">IF(Y37="","",IF(OR(AND(C37="M",F37="F"),AND(C37="F",F37="M")),VLOOKUP(Y37,relais,3),IF(C37="F",VLOOKUP(Y37,relaisf,7),VLOOKUP(Y37,relaisg,5))))</f>
        <v/>
      </c>
      <c r="AA37" s="428" t="str">
        <f t="shared" ref="AA37" ca="1" si="120">IFERROR(AVERAGE(Z37,Z38),"")</f>
        <v/>
      </c>
      <c r="AB37" s="471" t="str">
        <f>IFERROR(IF(COUNT($N37)=1,($N37/K37)-1,""),"")</f>
        <v/>
      </c>
      <c r="AC37" s="430" t="str">
        <f>IF($AB37&lt;&gt;"",INDEX(Barème!$AI$3:$AI$28,MATCH($AB37,Barème!$AH$3:$AH$28,-1)),"")</f>
        <v/>
      </c>
      <c r="AD37" s="428" t="str">
        <f t="shared" ref="AD37" si="121">IF(COUNT(AC37:AC38)&gt;1,AVERAGE(AC37,AC38),"")</f>
        <v/>
      </c>
      <c r="AE37" s="431" t="str">
        <f t="shared" si="25"/>
        <v/>
      </c>
      <c r="AF37" s="428" t="str">
        <f t="shared" ref="AF37" si="122">IFERROR(AVERAGE(AE37:AE38),"")</f>
        <v/>
      </c>
      <c r="AG37" s="432" t="str">
        <f t="shared" ref="AG37:AG38" si="123">IF(COUNTA(R37)=1,COUNTIF(R37,"OUI"),"")</f>
        <v/>
      </c>
      <c r="AH37" s="433" t="str">
        <f t="shared" ref="AH37:AH38" si="124">IF(COUNTA(U37)=1,COUNTIF(U37,"OUI"),"")</f>
        <v/>
      </c>
      <c r="AI37" s="434" t="str">
        <f t="shared" ref="AI37:AI38" si="125">IF(COUNTA(S37:T37)=2,COUNTIF(S37:T37,"OUI"),"")</f>
        <v/>
      </c>
      <c r="AJ37" s="428" t="str">
        <f t="shared" ref="AJ37" si="126">IF(COUNT(AG37:AH37,AI38)=3,MROUND(SUM(AG37,AH37,AI38),0.25),"")</f>
        <v/>
      </c>
      <c r="AK37" s="428" t="str">
        <f t="shared" ref="AK37:AK38" si="127">IFERROR((AF37/4)*3+(AJ37/4)*3,"")</f>
        <v/>
      </c>
    </row>
    <row r="38" spans="1:37" ht="24" customHeight="1" thickBot="1">
      <c r="A38" s="321" t="s">
        <v>128</v>
      </c>
      <c r="B38" s="468" t="str">
        <f ca="1">E37</f>
        <v/>
      </c>
      <c r="C38" s="436" t="str">
        <f ca="1">IF(B38&lt;&gt;"",INDEX(Perf.Sprint!$C$4:$C$41,MATCH(B38,Perf.Sprint!$B$4:$B$41,0)),"")</f>
        <v/>
      </c>
      <c r="D38" s="436" t="s">
        <v>149</v>
      </c>
      <c r="E38" s="436" t="str">
        <f ca="1">B37</f>
        <v/>
      </c>
      <c r="F38" s="436" t="str">
        <f ca="1">IF(E38&lt;&gt;"",INDEX(Perf.Sprint!$C$4:$C$41,MATCH(E38,Perf.Sprint!$B$4:$B$41,0)),"")</f>
        <v/>
      </c>
      <c r="G38" s="436" t="str">
        <f ca="1">CONCATENATE(F38,C38)</f>
        <v/>
      </c>
      <c r="H38" s="437"/>
      <c r="I38" s="438" t="str">
        <f ca="1">IF(B38&lt;&gt;0,INDEX(Perf.Sprint!$BJ$4:$BJ$40,MATCH(B38,Perf.Sprint!$B$4:$B$40,0)),"")</f>
        <v/>
      </c>
      <c r="J38" s="438" t="str">
        <f ca="1">IF(E38&lt;&gt;0,INDEX(Perf.Sprint!$BG$4:$BG$40,MATCH(E38,Perf.Sprint!$B$4:$B$40,0)),"")</f>
        <v/>
      </c>
      <c r="K38" s="438" t="str">
        <f ca="1">IFERROR(SUM(I38+J38),"")</f>
        <v/>
      </c>
      <c r="L38" s="436" t="str">
        <f ca="1">IF(K38="","",ROUND($J$2/K38,1))</f>
        <v/>
      </c>
      <c r="M38" s="439" t="str">
        <f ca="1">IF(K38="","",(L38*3600)/1000)</f>
        <v/>
      </c>
      <c r="N38" s="474"/>
      <c r="O38" s="441" t="str">
        <f>IFERROR(IF(N38="","",ROUND($J$2/N38,1)),"")</f>
        <v/>
      </c>
      <c r="P38" s="442" t="str">
        <f>IF(O38&lt;&gt;"",(O38*3600)/1000,"")</f>
        <v/>
      </c>
      <c r="Q38" s="469"/>
      <c r="R38" s="444"/>
      <c r="S38" s="445"/>
      <c r="T38" s="445"/>
      <c r="U38" s="446"/>
      <c r="V38" s="447" t="str">
        <f>IF(COUNT(N37:N38)=2,SUM(N37:N38),"")</f>
        <v/>
      </c>
      <c r="W38" s="448" t="str">
        <f ca="1">IF($V38="","",IF(OR(AND(C38="M",F38="F"),AND(C38="F",F38="M")),VLOOKUP($V38,INDIRECT("rel"),1),VLOOKUP($V38,INDIRECT(C38&amp;"rel"),1)))</f>
        <v/>
      </c>
      <c r="X38" s="448" t="str">
        <f ca="1">IFERROR(IF(OR(AND(C38="M",F38="F"),AND(C38="F",F38="M")),INDEX(INDIRECT("rel"),MATCH($V38,INDIRECT("rel"))+1),INDEX(INDIRECT(C38&amp;"rel"),MATCH($V38,INDIRECT(C38&amp;"rel"))+1)),"")</f>
        <v/>
      </c>
      <c r="Y38" s="448" t="str">
        <f ca="1">IF(X38="",W38,IF(V38=W38,W38,X38))</f>
        <v/>
      </c>
      <c r="Z38" s="449" t="str">
        <f ca="1">IF(Y38="","",IF(OR(AND(C38="M",F38="F"),AND(C38="F",F38="M")),VLOOKUP(Y38,relais,3),IF(C38="F",VLOOKUP(Y38,relaisf,7),VLOOKUP(Y38,relaisg,5))))</f>
        <v/>
      </c>
      <c r="AA38" s="450" t="str">
        <f t="shared" ref="AA38" ca="1" si="128">IFERROR(AVERAGE(Z37,Z38),"")</f>
        <v/>
      </c>
      <c r="AB38" s="472" t="str">
        <f>IFERROR(IF(COUNT($N38)=1,($N38/K38)-1,""),"")</f>
        <v/>
      </c>
      <c r="AC38" s="452" t="str">
        <f>IF($AB38&lt;&gt;"",INDEX(Barème!$AI$3:$AI$28,MATCH($AB38,Barème!$AH$3:$AH$28,-1)),"")</f>
        <v/>
      </c>
      <c r="AD38" s="450" t="str">
        <f t="shared" ref="AD38" si="129">IF(COUNT(AC37:AC38)&gt;1,AVERAGE(AC37,AC38),"")</f>
        <v/>
      </c>
      <c r="AE38" s="453" t="str">
        <f t="shared" si="25"/>
        <v/>
      </c>
      <c r="AF38" s="450" t="str">
        <f t="shared" ref="AF38" si="130">IFERROR(AVERAGE(AE38,AE37),"")</f>
        <v/>
      </c>
      <c r="AG38" s="432" t="str">
        <f t="shared" si="123"/>
        <v/>
      </c>
      <c r="AH38" s="433" t="str">
        <f t="shared" si="124"/>
        <v/>
      </c>
      <c r="AI38" s="434" t="str">
        <f t="shared" si="125"/>
        <v/>
      </c>
      <c r="AJ38" s="450" t="str">
        <f t="shared" ref="AJ38" si="131">IF(COUNT(AG38:AH38,AI37)=3,MROUND(SUM(AG38,AH38,AI37),0.25),"")</f>
        <v/>
      </c>
      <c r="AK38" s="450" t="str">
        <f t="shared" si="127"/>
        <v/>
      </c>
    </row>
    <row r="39" spans="1:37" ht="15.75" thickBot="1">
      <c r="A39" s="330">
        <v>13</v>
      </c>
      <c r="B39" s="394" t="s">
        <v>176</v>
      </c>
      <c r="C39" s="395" t="s">
        <v>134</v>
      </c>
      <c r="D39" s="396"/>
      <c r="E39" s="396" t="s">
        <v>177</v>
      </c>
      <c r="F39" s="396" t="s">
        <v>134</v>
      </c>
      <c r="G39" s="396"/>
      <c r="H39" s="399" t="s">
        <v>187</v>
      </c>
      <c r="I39" s="398">
        <v>47</v>
      </c>
      <c r="J39" s="398">
        <v>25</v>
      </c>
      <c r="K39" s="399" t="s">
        <v>178</v>
      </c>
      <c r="L39" s="400" t="s">
        <v>139</v>
      </c>
      <c r="M39" s="397" t="s">
        <v>140</v>
      </c>
      <c r="N39" s="401" t="s">
        <v>126</v>
      </c>
      <c r="O39" s="400" t="s">
        <v>139</v>
      </c>
      <c r="P39" s="402" t="s">
        <v>140</v>
      </c>
      <c r="Q39" s="403" t="s">
        <v>170</v>
      </c>
      <c r="R39" s="454" t="s">
        <v>180</v>
      </c>
      <c r="S39" s="455" t="s">
        <v>181</v>
      </c>
      <c r="T39" s="455" t="s">
        <v>182</v>
      </c>
      <c r="U39" s="456" t="s">
        <v>183</v>
      </c>
      <c r="V39" s="457"/>
      <c r="W39" s="458"/>
      <c r="X39" s="458"/>
      <c r="Y39" s="458"/>
      <c r="Z39" s="459"/>
      <c r="AA39" s="460"/>
      <c r="AB39" s="470" t="s">
        <v>188</v>
      </c>
      <c r="AC39" s="411"/>
      <c r="AD39" s="462"/>
      <c r="AE39" s="463" t="str">
        <f t="shared" ref="AE39:AE62" si="132">IFERROR(INDEX(Pts_Zone,MATCH(Q39,Zone,0)),"")</f>
        <v/>
      </c>
      <c r="AF39" s="460"/>
      <c r="AG39" s="464" t="s">
        <v>180</v>
      </c>
      <c r="AH39" s="464" t="s">
        <v>152</v>
      </c>
      <c r="AI39" s="465" t="s">
        <v>163</v>
      </c>
      <c r="AJ39" s="457"/>
      <c r="AK39" s="462"/>
    </row>
    <row r="40" spans="1:37" ht="24" customHeight="1">
      <c r="A40" s="321" t="s">
        <v>127</v>
      </c>
      <c r="B40" s="466" t="str">
        <f ca="1">IFERROR('Compo.Relais(1)'!$AF16,"")</f>
        <v/>
      </c>
      <c r="C40" s="413" t="str">
        <f ca="1">IF(B40&lt;&gt;"",INDEX(Perf.Sprint!$C$4:$C$41,MATCH(B40,Perf.Sprint!$B$4:$B$41,0)),"")</f>
        <v/>
      </c>
      <c r="D40" s="413" t="s">
        <v>149</v>
      </c>
      <c r="E40" s="413" t="str">
        <f ca="1">IFERROR('Compo.Relais(1)'!$AH16,"")</f>
        <v/>
      </c>
      <c r="F40" s="413" t="str">
        <f ca="1">IF(E40&lt;&gt;"",INDEX(Perf.Sprint!$C$4:$C$41,MATCH(E40,Perf.Sprint!$B$4:$B$41,0)),"")</f>
        <v/>
      </c>
      <c r="G40" s="413" t="str">
        <f ca="1">CONCATENATE(C40,F40)</f>
        <v/>
      </c>
      <c r="H40" s="414"/>
      <c r="I40" s="415" t="str">
        <f ca="1">IF(B40&lt;&gt;0,INDEX(Perf.Sprint!$BJ$4:$BJ$40,MATCH(B40,Perf.Sprint!$B$4:$B$40,0)),"")</f>
        <v/>
      </c>
      <c r="J40" s="415" t="str">
        <f ca="1">IF(E40&lt;&gt;0,INDEX(Perf.Sprint!$BG$4:$BG$40,MATCH(E40,Perf.Sprint!$B$4:$B$40,0)),"")</f>
        <v/>
      </c>
      <c r="K40" s="416" t="str">
        <f ca="1">IFERROR(SUM(I40+J40),"")</f>
        <v/>
      </c>
      <c r="L40" s="413" t="str">
        <f ca="1">IF(K40="","",ROUND($J$2/K40,1))</f>
        <v/>
      </c>
      <c r="M40" s="417" t="str">
        <f ca="1">IF(K40="","",(L40*3600)/1000)</f>
        <v/>
      </c>
      <c r="N40" s="473"/>
      <c r="O40" s="419" t="str">
        <f>IFERROR(IF(N40="","",ROUND($J$2/N40,1)),"")</f>
        <v/>
      </c>
      <c r="P40" s="420" t="str">
        <f>IF(O40&lt;&gt;"",(O40*3600)/1000,"")</f>
        <v/>
      </c>
      <c r="Q40" s="467"/>
      <c r="R40" s="422"/>
      <c r="S40" s="423"/>
      <c r="T40" s="423"/>
      <c r="U40" s="424"/>
      <c r="V40" s="425" t="str">
        <f>IF(COUNT(N40:N41)=2,SUM(N40:N41),"")</f>
        <v/>
      </c>
      <c r="W40" s="426" t="str">
        <f ca="1">IF($V40="","",IF(OR(AND(C40="M",F40="F"),AND(C40="F",F40="M")),VLOOKUP($V40,INDIRECT("rel"),1),VLOOKUP($V40,INDIRECT(C40&amp;"rel"),1)))</f>
        <v/>
      </c>
      <c r="X40" s="426" t="str">
        <f ca="1">IFERROR(IF(OR(AND(C40="M",F40="F"),AND(C40="F",F40="M")),INDEX(INDIRECT("rel"),MATCH($V40,INDIRECT("rel"))+1),INDEX(INDIRECT(C40&amp;"rel"),MATCH($V40,INDIRECT(C40&amp;"rel"))+1)),"")</f>
        <v/>
      </c>
      <c r="Y40" s="426" t="str">
        <f ca="1">IF(X40="",W40,IF(V40=W40,W40,X40))</f>
        <v/>
      </c>
      <c r="Z40" s="427" t="str">
        <f ca="1">IF(Y40="","",IF(OR(AND(C40="M",F40="F"),AND(C40="F",F40="M")),VLOOKUP(Y40,relais,3),IF(C40="F",VLOOKUP(Y40,relaisf,7),VLOOKUP(Y40,relaisg,5))))</f>
        <v/>
      </c>
      <c r="AA40" s="428" t="str">
        <f t="shared" ref="AA40" ca="1" si="133">IFERROR(AVERAGE(Z40,Z41),"")</f>
        <v/>
      </c>
      <c r="AB40" s="471" t="str">
        <f>IFERROR(IF(COUNT($N40)=1,($N40/K40)-1,""),"")</f>
        <v/>
      </c>
      <c r="AC40" s="430" t="str">
        <f>IF($AB40&lt;&gt;"",INDEX(Barème!$AI$3:$AI$28,MATCH($AB40,Barème!$AH$3:$AH$28,-1)),"")</f>
        <v/>
      </c>
      <c r="AD40" s="428" t="str">
        <f t="shared" ref="AD40" si="134">IF(COUNT(AC40:AC41)&gt;1,AVERAGE(AC40,AC41),"")</f>
        <v/>
      </c>
      <c r="AE40" s="431" t="str">
        <f t="shared" si="132"/>
        <v/>
      </c>
      <c r="AF40" s="428" t="str">
        <f t="shared" ref="AF40" si="135">IFERROR(AVERAGE(AE40:AE41),"")</f>
        <v/>
      </c>
      <c r="AG40" s="432" t="str">
        <f t="shared" ref="AG40:AG41" si="136">IF(COUNTA(R40)=1,COUNTIF(R40,"OUI"),"")</f>
        <v/>
      </c>
      <c r="AH40" s="433" t="str">
        <f t="shared" ref="AH40:AH41" si="137">IF(COUNTA(U40)=1,COUNTIF(U40,"OUI"),"")</f>
        <v/>
      </c>
      <c r="AI40" s="434" t="str">
        <f t="shared" ref="AI40:AI41" si="138">IF(COUNTA(S40:T40)=2,COUNTIF(S40:T40,"OUI"),"")</f>
        <v/>
      </c>
      <c r="AJ40" s="428" t="str">
        <f t="shared" ref="AJ40" si="139">IF(COUNT(AG40:AH40,AI41)=3,MROUND(SUM(AG40,AH40,AI41),0.25),"")</f>
        <v/>
      </c>
      <c r="AK40" s="428" t="str">
        <f t="shared" ref="AK40:AK41" si="140">IFERROR((AF40/4)*3+(AJ40/4)*3,"")</f>
        <v/>
      </c>
    </row>
    <row r="41" spans="1:37" ht="24" customHeight="1" thickBot="1">
      <c r="A41" s="321" t="s">
        <v>128</v>
      </c>
      <c r="B41" s="468" t="str">
        <f ca="1">E40</f>
        <v/>
      </c>
      <c r="C41" s="436" t="str">
        <f ca="1">IF(B41&lt;&gt;"",INDEX(Perf.Sprint!$C$4:$C$41,MATCH(B41,Perf.Sprint!$B$4:$B$41,0)),"")</f>
        <v/>
      </c>
      <c r="D41" s="436" t="s">
        <v>149</v>
      </c>
      <c r="E41" s="436" t="str">
        <f ca="1">B40</f>
        <v/>
      </c>
      <c r="F41" s="436" t="str">
        <f ca="1">IF(E41&lt;&gt;"",INDEX(Perf.Sprint!$C$4:$C$41,MATCH(E41,Perf.Sprint!$B$4:$B$41,0)),"")</f>
        <v/>
      </c>
      <c r="G41" s="436" t="str">
        <f ca="1">CONCATENATE(F41,C41)</f>
        <v/>
      </c>
      <c r="H41" s="437"/>
      <c r="I41" s="438" t="str">
        <f ca="1">IF(B41&lt;&gt;0,INDEX(Perf.Sprint!$BJ$4:$BJ$40,MATCH(B41,Perf.Sprint!$B$4:$B$40,0)),"")</f>
        <v/>
      </c>
      <c r="J41" s="438" t="str">
        <f ca="1">IF(E41&lt;&gt;0,INDEX(Perf.Sprint!$BG$4:$BG$40,MATCH(E41,Perf.Sprint!$B$4:$B$40,0)),"")</f>
        <v/>
      </c>
      <c r="K41" s="438" t="str">
        <f ca="1">IFERROR(SUM(I41+J41),"")</f>
        <v/>
      </c>
      <c r="L41" s="436" t="str">
        <f ca="1">IF(K41="","",ROUND($J$2/K41,1))</f>
        <v/>
      </c>
      <c r="M41" s="439" t="str">
        <f ca="1">IF(K41="","",(L41*3600)/1000)</f>
        <v/>
      </c>
      <c r="N41" s="474"/>
      <c r="O41" s="441" t="str">
        <f>IFERROR(IF(N41="","",ROUND($J$2/N41,1)),"")</f>
        <v/>
      </c>
      <c r="P41" s="442" t="str">
        <f>IF(O41&lt;&gt;"",(O41*3600)/1000,"")</f>
        <v/>
      </c>
      <c r="Q41" s="469"/>
      <c r="R41" s="444"/>
      <c r="S41" s="445"/>
      <c r="T41" s="445"/>
      <c r="U41" s="446"/>
      <c r="V41" s="447" t="str">
        <f>IF(COUNT(N40:N41)=2,SUM(N40:N41),"")</f>
        <v/>
      </c>
      <c r="W41" s="448" t="str">
        <f ca="1">IF($V41="","",IF(OR(AND(C41="M",F41="F"),AND(C41="F",F41="M")),VLOOKUP($V41,INDIRECT("rel"),1),VLOOKUP($V41,INDIRECT(C41&amp;"rel"),1)))</f>
        <v/>
      </c>
      <c r="X41" s="448" t="str">
        <f ca="1">IFERROR(IF(OR(AND(C41="M",F41="F"),AND(C41="F",F41="M")),INDEX(INDIRECT("rel"),MATCH($V41,INDIRECT("rel"))+1),INDEX(INDIRECT(C41&amp;"rel"),MATCH($V41,INDIRECT(C41&amp;"rel"))+1)),"")</f>
        <v/>
      </c>
      <c r="Y41" s="448" t="str">
        <f ca="1">IF(X41="",W41,IF(V41=W41,W41,X41))</f>
        <v/>
      </c>
      <c r="Z41" s="449" t="str">
        <f ca="1">IF(Y41="","",IF(OR(AND(C41="M",F41="F"),AND(C41="F",F41="M")),VLOOKUP(Y41,relais,3),IF(C41="F",VLOOKUP(Y41,relaisf,7),VLOOKUP(Y41,relaisg,5))))</f>
        <v/>
      </c>
      <c r="AA41" s="450" t="str">
        <f t="shared" ref="AA41" ca="1" si="141">IFERROR(AVERAGE(Z40,Z41),"")</f>
        <v/>
      </c>
      <c r="AB41" s="472" t="str">
        <f>IFERROR(IF(COUNT($N41)=1,($N41/K41)-1,""),"")</f>
        <v/>
      </c>
      <c r="AC41" s="452" t="str">
        <f>IF($AB41&lt;&gt;"",INDEX(Barème!$AI$3:$AI$28,MATCH($AB41,Barème!$AH$3:$AH$28,-1)),"")</f>
        <v/>
      </c>
      <c r="AD41" s="450" t="str">
        <f t="shared" ref="AD41" si="142">IF(COUNT(AC40:AC41)&gt;1,AVERAGE(AC40,AC41),"")</f>
        <v/>
      </c>
      <c r="AE41" s="453" t="str">
        <f t="shared" si="132"/>
        <v/>
      </c>
      <c r="AF41" s="450" t="str">
        <f t="shared" ref="AF41" si="143">IFERROR(AVERAGE(AE41,AE40),"")</f>
        <v/>
      </c>
      <c r="AG41" s="432" t="str">
        <f t="shared" si="136"/>
        <v/>
      </c>
      <c r="AH41" s="433" t="str">
        <f t="shared" si="137"/>
        <v/>
      </c>
      <c r="AI41" s="434" t="str">
        <f t="shared" si="138"/>
        <v/>
      </c>
      <c r="AJ41" s="450" t="str">
        <f t="shared" ref="AJ41" si="144">IF(COUNT(AG41:AH41,AI40)=3,MROUND(SUM(AG41,AH41,AI40),0.25),"")</f>
        <v/>
      </c>
      <c r="AK41" s="450" t="str">
        <f t="shared" si="140"/>
        <v/>
      </c>
    </row>
    <row r="42" spans="1:37" ht="15.75" thickBot="1">
      <c r="A42" s="330">
        <v>14</v>
      </c>
      <c r="B42" s="394" t="s">
        <v>176</v>
      </c>
      <c r="C42" s="395" t="s">
        <v>134</v>
      </c>
      <c r="D42" s="396"/>
      <c r="E42" s="396" t="s">
        <v>177</v>
      </c>
      <c r="F42" s="396" t="s">
        <v>134</v>
      </c>
      <c r="G42" s="396"/>
      <c r="H42" s="399" t="s">
        <v>187</v>
      </c>
      <c r="I42" s="398">
        <v>48</v>
      </c>
      <c r="J42" s="398">
        <v>25</v>
      </c>
      <c r="K42" s="399" t="s">
        <v>178</v>
      </c>
      <c r="L42" s="400" t="s">
        <v>139</v>
      </c>
      <c r="M42" s="397" t="s">
        <v>140</v>
      </c>
      <c r="N42" s="401" t="s">
        <v>126</v>
      </c>
      <c r="O42" s="400" t="s">
        <v>139</v>
      </c>
      <c r="P42" s="402" t="s">
        <v>140</v>
      </c>
      <c r="Q42" s="403" t="s">
        <v>170</v>
      </c>
      <c r="R42" s="454" t="s">
        <v>180</v>
      </c>
      <c r="S42" s="455" t="s">
        <v>181</v>
      </c>
      <c r="T42" s="455" t="s">
        <v>182</v>
      </c>
      <c r="U42" s="456" t="s">
        <v>183</v>
      </c>
      <c r="V42" s="457"/>
      <c r="W42" s="458"/>
      <c r="X42" s="458"/>
      <c r="Y42" s="458"/>
      <c r="Z42" s="459"/>
      <c r="AA42" s="460"/>
      <c r="AB42" s="470" t="s">
        <v>188</v>
      </c>
      <c r="AC42" s="411"/>
      <c r="AD42" s="462"/>
      <c r="AE42" s="463" t="str">
        <f t="shared" si="132"/>
        <v/>
      </c>
      <c r="AF42" s="460"/>
      <c r="AG42" s="464" t="s">
        <v>180</v>
      </c>
      <c r="AH42" s="464" t="s">
        <v>152</v>
      </c>
      <c r="AI42" s="465" t="s">
        <v>163</v>
      </c>
      <c r="AJ42" s="457"/>
      <c r="AK42" s="462"/>
    </row>
    <row r="43" spans="1:37" ht="24" customHeight="1">
      <c r="A43" s="321" t="s">
        <v>127</v>
      </c>
      <c r="B43" s="466" t="str">
        <f ca="1">IFERROR('Compo.Relais(1)'!$AF17,"")</f>
        <v/>
      </c>
      <c r="C43" s="413" t="str">
        <f ca="1">IF(B43&lt;&gt;"",INDEX(Perf.Sprint!$C$4:$C$41,MATCH(B43,Perf.Sprint!$B$4:$B$41,0)),"")</f>
        <v/>
      </c>
      <c r="D43" s="413" t="s">
        <v>149</v>
      </c>
      <c r="E43" s="413" t="str">
        <f ca="1">IFERROR('Compo.Relais(1)'!$AH17,"")</f>
        <v/>
      </c>
      <c r="F43" s="413" t="str">
        <f ca="1">IF(E43&lt;&gt;"",INDEX(Perf.Sprint!$C$4:$C$41,MATCH(E43,Perf.Sprint!$B$4:$B$41,0)),"")</f>
        <v/>
      </c>
      <c r="G43" s="413" t="str">
        <f ca="1">CONCATENATE(C43,F43)</f>
        <v/>
      </c>
      <c r="H43" s="414"/>
      <c r="I43" s="415" t="str">
        <f ca="1">IF(B43&lt;&gt;0,INDEX(Perf.Sprint!$BJ$4:$BJ$40,MATCH(B43,Perf.Sprint!$B$4:$B$40,0)),"")</f>
        <v/>
      </c>
      <c r="J43" s="415" t="str">
        <f ca="1">IF(E43&lt;&gt;0,INDEX(Perf.Sprint!$BG$4:$BG$40,MATCH(E43,Perf.Sprint!$B$4:$B$40,0)),"")</f>
        <v/>
      </c>
      <c r="K43" s="416" t="str">
        <f ca="1">IFERROR(SUM(I43+J43),"")</f>
        <v/>
      </c>
      <c r="L43" s="413" t="str">
        <f ca="1">IF(K43="","",ROUND($J$2/K43,1))</f>
        <v/>
      </c>
      <c r="M43" s="417" t="str">
        <f ca="1">IF(K43="","",(L43*3600)/1000)</f>
        <v/>
      </c>
      <c r="N43" s="473"/>
      <c r="O43" s="419" t="str">
        <f>IFERROR(IF(N43="","",ROUND($J$2/N43,1)),"")</f>
        <v/>
      </c>
      <c r="P43" s="420" t="str">
        <f>IF(O43&lt;&gt;"",(O43*3600)/1000,"")</f>
        <v/>
      </c>
      <c r="Q43" s="467"/>
      <c r="R43" s="422"/>
      <c r="S43" s="423"/>
      <c r="T43" s="423"/>
      <c r="U43" s="424"/>
      <c r="V43" s="425" t="str">
        <f>IF(COUNT(N43:N44)=2,SUM(N43:N44),"")</f>
        <v/>
      </c>
      <c r="W43" s="426" t="str">
        <f ca="1">IF($V43="","",IF(OR(AND(C43="M",F43="F"),AND(C43="F",F43="M")),VLOOKUP($V43,INDIRECT("rel"),1),VLOOKUP($V43,INDIRECT(C43&amp;"rel"),1)))</f>
        <v/>
      </c>
      <c r="X43" s="426" t="str">
        <f ca="1">IFERROR(IF(OR(AND(C43="M",F43="F"),AND(C43="F",F43="M")),INDEX(INDIRECT("rel"),MATCH($V43,INDIRECT("rel"))+1),INDEX(INDIRECT(C43&amp;"rel"),MATCH($V43,INDIRECT(C43&amp;"rel"))+1)),"")</f>
        <v/>
      </c>
      <c r="Y43" s="426" t="str">
        <f ca="1">IF(X43="",W43,IF(V43=W43,W43,X43))</f>
        <v/>
      </c>
      <c r="Z43" s="427" t="str">
        <f ca="1">IF(Y43="","",IF(OR(AND(C43="M",F43="F"),AND(C43="F",F43="M")),VLOOKUP(Y43,relais,3),IF(C43="F",VLOOKUP(Y43,relaisf,7),VLOOKUP(Y43,relaisg,5))))</f>
        <v/>
      </c>
      <c r="AA43" s="428" t="str">
        <f t="shared" ref="AA43" ca="1" si="145">IFERROR(AVERAGE(Z43,Z44),"")</f>
        <v/>
      </c>
      <c r="AB43" s="471" t="str">
        <f>IFERROR(IF(COUNT($N43)=1,($N43/K43)-1,""),"")</f>
        <v/>
      </c>
      <c r="AC43" s="430" t="str">
        <f>IF($AB43&lt;&gt;"",INDEX(Barème!$AI$3:$AI$28,MATCH($AB43,Barème!$AH$3:$AH$28,-1)),"")</f>
        <v/>
      </c>
      <c r="AD43" s="428" t="str">
        <f t="shared" ref="AD43" si="146">IF(COUNT(AC43:AC44)&gt;1,AVERAGE(AC43,AC44),"")</f>
        <v/>
      </c>
      <c r="AE43" s="431" t="str">
        <f t="shared" si="132"/>
        <v/>
      </c>
      <c r="AF43" s="428" t="str">
        <f t="shared" ref="AF43" si="147">IFERROR(AVERAGE(AE43:AE44),"")</f>
        <v/>
      </c>
      <c r="AG43" s="432" t="str">
        <f t="shared" ref="AG43:AG44" si="148">IF(COUNTA(R43)=1,COUNTIF(R43,"OUI"),"")</f>
        <v/>
      </c>
      <c r="AH43" s="433" t="str">
        <f t="shared" ref="AH43:AH44" si="149">IF(COUNTA(U43)=1,COUNTIF(U43,"OUI"),"")</f>
        <v/>
      </c>
      <c r="AI43" s="434" t="str">
        <f t="shared" ref="AI43:AI44" si="150">IF(COUNTA(S43:T43)=2,COUNTIF(S43:T43,"OUI"),"")</f>
        <v/>
      </c>
      <c r="AJ43" s="428" t="str">
        <f t="shared" ref="AJ43" si="151">IF(COUNT(AG43:AH43,AI44)=3,MROUND(SUM(AG43,AH43,AI44),0.25),"")</f>
        <v/>
      </c>
      <c r="AK43" s="428" t="str">
        <f t="shared" ref="AK43:AK44" si="152">IFERROR((AF43/4)*3+(AJ43/4)*3,"")</f>
        <v/>
      </c>
    </row>
    <row r="44" spans="1:37" ht="24" customHeight="1" thickBot="1">
      <c r="A44" s="321" t="s">
        <v>128</v>
      </c>
      <c r="B44" s="468" t="str">
        <f ca="1">E43</f>
        <v/>
      </c>
      <c r="C44" s="436" t="str">
        <f ca="1">IF(B44&lt;&gt;"",INDEX(Perf.Sprint!$C$4:$C$41,MATCH(B44,Perf.Sprint!$B$4:$B$41,0)),"")</f>
        <v/>
      </c>
      <c r="D44" s="436" t="s">
        <v>149</v>
      </c>
      <c r="E44" s="436" t="str">
        <f ca="1">B43</f>
        <v/>
      </c>
      <c r="F44" s="436" t="str">
        <f ca="1">IF(E44&lt;&gt;"",INDEX(Perf.Sprint!$C$4:$C$41,MATCH(E44,Perf.Sprint!$B$4:$B$41,0)),"")</f>
        <v/>
      </c>
      <c r="G44" s="436" t="str">
        <f ca="1">CONCATENATE(F44,C44)</f>
        <v/>
      </c>
      <c r="H44" s="437"/>
      <c r="I44" s="438" t="str">
        <f ca="1">IF(B44&lt;&gt;0,INDEX(Perf.Sprint!$BJ$4:$BJ$40,MATCH(B44,Perf.Sprint!$B$4:$B$40,0)),"")</f>
        <v/>
      </c>
      <c r="J44" s="438" t="str">
        <f ca="1">IF(E44&lt;&gt;0,INDEX(Perf.Sprint!$BG$4:$BG$40,MATCH(E44,Perf.Sprint!$B$4:$B$40,0)),"")</f>
        <v/>
      </c>
      <c r="K44" s="438" t="str">
        <f ca="1">IFERROR(SUM(I44+J44),"")</f>
        <v/>
      </c>
      <c r="L44" s="436" t="str">
        <f ca="1">IF(K44="","",ROUND($J$2/K44,1))</f>
        <v/>
      </c>
      <c r="M44" s="439" t="str">
        <f ca="1">IF(K44="","",(L44*3600)/1000)</f>
        <v/>
      </c>
      <c r="N44" s="474"/>
      <c r="O44" s="441" t="str">
        <f>IFERROR(IF(N44="","",ROUND($J$2/N44,1)),"")</f>
        <v/>
      </c>
      <c r="P44" s="442" t="str">
        <f>IF(O44&lt;&gt;"",(O44*3600)/1000,"")</f>
        <v/>
      </c>
      <c r="Q44" s="469"/>
      <c r="R44" s="444"/>
      <c r="S44" s="445"/>
      <c r="T44" s="445"/>
      <c r="U44" s="446"/>
      <c r="V44" s="447" t="str">
        <f>IF(COUNT(N43:N44)=2,SUM(N43:N44),"")</f>
        <v/>
      </c>
      <c r="W44" s="448" t="str">
        <f ca="1">IF($V44="","",IF(OR(AND(C44="M",F44="F"),AND(C44="F",F44="M")),VLOOKUP($V44,INDIRECT("rel"),1),VLOOKUP($V44,INDIRECT(C44&amp;"rel"),1)))</f>
        <v/>
      </c>
      <c r="X44" s="448" t="str">
        <f ca="1">IFERROR(IF(OR(AND(C44="M",F44="F"),AND(C44="F",F44="M")),INDEX(INDIRECT("rel"),MATCH($V44,INDIRECT("rel"))+1),INDEX(INDIRECT(C44&amp;"rel"),MATCH($V44,INDIRECT(C44&amp;"rel"))+1)),"")</f>
        <v/>
      </c>
      <c r="Y44" s="448" t="str">
        <f ca="1">IF(X44="",W44,IF(V44=W44,W44,X44))</f>
        <v/>
      </c>
      <c r="Z44" s="449" t="str">
        <f ca="1">IF(Y44="","",IF(OR(AND(C44="M",F44="F"),AND(C44="F",F44="M")),VLOOKUP(Y44,relais,3),IF(C44="F",VLOOKUP(Y44,relaisf,7),VLOOKUP(Y44,relaisg,5))))</f>
        <v/>
      </c>
      <c r="AA44" s="450" t="str">
        <f t="shared" ref="AA44" ca="1" si="153">IFERROR(AVERAGE(Z43,Z44),"")</f>
        <v/>
      </c>
      <c r="AB44" s="472" t="str">
        <f>IFERROR(IF(COUNT($N44)=1,($N44/K44)-1,""),"")</f>
        <v/>
      </c>
      <c r="AC44" s="452" t="str">
        <f>IF($AB44&lt;&gt;"",INDEX(Barème!$AI$3:$AI$28,MATCH($AB44,Barème!$AH$3:$AH$28,-1)),"")</f>
        <v/>
      </c>
      <c r="AD44" s="450" t="str">
        <f t="shared" ref="AD44" si="154">IF(COUNT(AC43:AC44)&gt;1,AVERAGE(AC43,AC44),"")</f>
        <v/>
      </c>
      <c r="AE44" s="453" t="str">
        <f t="shared" si="132"/>
        <v/>
      </c>
      <c r="AF44" s="450" t="str">
        <f t="shared" ref="AF44" si="155">IFERROR(AVERAGE(AE44,AE43),"")</f>
        <v/>
      </c>
      <c r="AG44" s="432" t="str">
        <f t="shared" si="148"/>
        <v/>
      </c>
      <c r="AH44" s="433" t="str">
        <f t="shared" si="149"/>
        <v/>
      </c>
      <c r="AI44" s="434" t="str">
        <f t="shared" si="150"/>
        <v/>
      </c>
      <c r="AJ44" s="450" t="str">
        <f t="shared" ref="AJ44" si="156">IF(COUNT(AG44:AH44,AI43)=3,MROUND(SUM(AG44,AH44,AI43),0.25),"")</f>
        <v/>
      </c>
      <c r="AK44" s="450" t="str">
        <f t="shared" si="152"/>
        <v/>
      </c>
    </row>
    <row r="45" spans="1:37" ht="15.75" thickBot="1">
      <c r="A45" s="330">
        <v>15</v>
      </c>
      <c r="B45" s="394" t="s">
        <v>176</v>
      </c>
      <c r="C45" s="395" t="s">
        <v>134</v>
      </c>
      <c r="D45" s="396"/>
      <c r="E45" s="396" t="s">
        <v>177</v>
      </c>
      <c r="F45" s="396" t="s">
        <v>134</v>
      </c>
      <c r="G45" s="396"/>
      <c r="H45" s="399" t="s">
        <v>187</v>
      </c>
      <c r="I45" s="398">
        <v>49</v>
      </c>
      <c r="J45" s="398">
        <v>25</v>
      </c>
      <c r="K45" s="399" t="s">
        <v>178</v>
      </c>
      <c r="L45" s="400" t="s">
        <v>139</v>
      </c>
      <c r="M45" s="397" t="s">
        <v>140</v>
      </c>
      <c r="N45" s="401" t="s">
        <v>126</v>
      </c>
      <c r="O45" s="400" t="s">
        <v>139</v>
      </c>
      <c r="P45" s="402" t="s">
        <v>140</v>
      </c>
      <c r="Q45" s="403" t="s">
        <v>170</v>
      </c>
      <c r="R45" s="454" t="s">
        <v>180</v>
      </c>
      <c r="S45" s="455" t="s">
        <v>181</v>
      </c>
      <c r="T45" s="455" t="s">
        <v>182</v>
      </c>
      <c r="U45" s="456" t="s">
        <v>183</v>
      </c>
      <c r="V45" s="457"/>
      <c r="W45" s="458"/>
      <c r="X45" s="458"/>
      <c r="Y45" s="458"/>
      <c r="Z45" s="459"/>
      <c r="AA45" s="460"/>
      <c r="AB45" s="470" t="s">
        <v>188</v>
      </c>
      <c r="AC45" s="411"/>
      <c r="AD45" s="462"/>
      <c r="AE45" s="463" t="str">
        <f t="shared" si="132"/>
        <v/>
      </c>
      <c r="AF45" s="460"/>
      <c r="AG45" s="464" t="s">
        <v>180</v>
      </c>
      <c r="AH45" s="464" t="s">
        <v>152</v>
      </c>
      <c r="AI45" s="465" t="s">
        <v>163</v>
      </c>
      <c r="AJ45" s="457"/>
      <c r="AK45" s="462"/>
    </row>
    <row r="46" spans="1:37" ht="24" customHeight="1">
      <c r="A46" s="321" t="s">
        <v>127</v>
      </c>
      <c r="B46" s="466" t="str">
        <f ca="1">IFERROR('Compo.Relais(1)'!$AF18,"")</f>
        <v/>
      </c>
      <c r="C46" s="413" t="str">
        <f ca="1">IF(B46&lt;&gt;"",INDEX(Perf.Sprint!$C$4:$C$41,MATCH(B46,Perf.Sprint!$B$4:$B$41,0)),"")</f>
        <v/>
      </c>
      <c r="D46" s="413" t="s">
        <v>149</v>
      </c>
      <c r="E46" s="413" t="str">
        <f ca="1">IFERROR('Compo.Relais(1)'!$AH18,"")</f>
        <v/>
      </c>
      <c r="F46" s="413" t="str">
        <f ca="1">IF(E46&lt;&gt;"",INDEX(Perf.Sprint!$C$4:$C$41,MATCH(E46,Perf.Sprint!$B$4:$B$41,0)),"")</f>
        <v/>
      </c>
      <c r="G46" s="413" t="str">
        <f ca="1">CONCATENATE(C46,F46)</f>
        <v/>
      </c>
      <c r="H46" s="414"/>
      <c r="I46" s="415" t="str">
        <f ca="1">IF(B46&lt;&gt;0,INDEX(Perf.Sprint!$BJ$4:$BJ$40,MATCH(B46,Perf.Sprint!$B$4:$B$40,0)),"")</f>
        <v/>
      </c>
      <c r="J46" s="415" t="str">
        <f ca="1">IF(E46&lt;&gt;0,INDEX(Perf.Sprint!$BG$4:$BG$40,MATCH(E46,Perf.Sprint!$B$4:$B$40,0)),"")</f>
        <v/>
      </c>
      <c r="K46" s="416" t="str">
        <f ca="1">IFERROR(SUM(I46+J46),"")</f>
        <v/>
      </c>
      <c r="L46" s="413" t="str">
        <f ca="1">IF(K46="","",ROUND($J$2/K46,1))</f>
        <v/>
      </c>
      <c r="M46" s="417" t="str">
        <f ca="1">IF(K46="","",(L46*3600)/1000)</f>
        <v/>
      </c>
      <c r="N46" s="473"/>
      <c r="O46" s="419" t="str">
        <f>IFERROR(IF(N46="","",ROUND($J$2/N46,1)),"")</f>
        <v/>
      </c>
      <c r="P46" s="420" t="str">
        <f>IF(O46&lt;&gt;"",(O46*3600)/1000,"")</f>
        <v/>
      </c>
      <c r="Q46" s="467"/>
      <c r="R46" s="422"/>
      <c r="S46" s="423"/>
      <c r="T46" s="423"/>
      <c r="U46" s="424"/>
      <c r="V46" s="425" t="str">
        <f>IF(COUNT(N46:N47)=2,SUM(N46:N47),"")</f>
        <v/>
      </c>
      <c r="W46" s="426" t="str">
        <f ca="1">IF($V46="","",IF(OR(AND(C46="M",F46="F"),AND(C46="F",F46="M")),VLOOKUP($V46,INDIRECT("rel"),1),VLOOKUP($V46,INDIRECT(C46&amp;"rel"),1)))</f>
        <v/>
      </c>
      <c r="X46" s="426" t="str">
        <f ca="1">IFERROR(IF(OR(AND(C46="M",F46="F"),AND(C46="F",F46="M")),INDEX(INDIRECT("rel"),MATCH($V46,INDIRECT("rel"))+1),INDEX(INDIRECT(C46&amp;"rel"),MATCH($V46,INDIRECT(C46&amp;"rel"))+1)),"")</f>
        <v/>
      </c>
      <c r="Y46" s="426" t="str">
        <f ca="1">IF(X46="",W46,IF(V46=W46,W46,X46))</f>
        <v/>
      </c>
      <c r="Z46" s="427" t="str">
        <f ca="1">IF(Y46="","",IF(OR(AND(C46="M",F46="F"),AND(C46="F",F46="M")),VLOOKUP(Y46,relais,3),IF(C46="F",VLOOKUP(Y46,relaisf,7),VLOOKUP(Y46,relaisg,5))))</f>
        <v/>
      </c>
      <c r="AA46" s="428" t="str">
        <f t="shared" ref="AA46" ca="1" si="157">IFERROR(AVERAGE(Z46,Z47),"")</f>
        <v/>
      </c>
      <c r="AB46" s="471" t="str">
        <f>IFERROR(IF(COUNT($N46)=1,($N46/K46)-1,""),"")</f>
        <v/>
      </c>
      <c r="AC46" s="430" t="str">
        <f>IF($AB46&lt;&gt;"",INDEX(Barème!$AI$3:$AI$28,MATCH($AB46,Barème!$AH$3:$AH$28,-1)),"")</f>
        <v/>
      </c>
      <c r="AD46" s="428" t="str">
        <f t="shared" ref="AD46" si="158">IF(COUNT(AC46:AC47)&gt;1,AVERAGE(AC46,AC47),"")</f>
        <v/>
      </c>
      <c r="AE46" s="431" t="str">
        <f t="shared" si="132"/>
        <v/>
      </c>
      <c r="AF46" s="428" t="str">
        <f t="shared" ref="AF46" si="159">IFERROR(AVERAGE(AE46:AE47),"")</f>
        <v/>
      </c>
      <c r="AG46" s="432" t="str">
        <f t="shared" ref="AG46:AG47" si="160">IF(COUNTA(R46)=1,COUNTIF(R46,"OUI"),"")</f>
        <v/>
      </c>
      <c r="AH46" s="433" t="str">
        <f t="shared" ref="AH46:AH47" si="161">IF(COUNTA(U46)=1,COUNTIF(U46,"OUI"),"")</f>
        <v/>
      </c>
      <c r="AI46" s="434" t="str">
        <f t="shared" ref="AI46:AI47" si="162">IF(COUNTA(S46:T46)=2,COUNTIF(S46:T46,"OUI"),"")</f>
        <v/>
      </c>
      <c r="AJ46" s="428" t="str">
        <f t="shared" ref="AJ46" si="163">IF(COUNT(AG46:AH46,AI47)=3,MROUND(SUM(AG46,AH46,AI47),0.25),"")</f>
        <v/>
      </c>
      <c r="AK46" s="428" t="str">
        <f t="shared" ref="AK46:AK47" si="164">IFERROR((AF46/4)*3+(AJ46/4)*3,"")</f>
        <v/>
      </c>
    </row>
    <row r="47" spans="1:37" ht="24" customHeight="1" thickBot="1">
      <c r="A47" s="321" t="s">
        <v>128</v>
      </c>
      <c r="B47" s="468" t="str">
        <f ca="1">E46</f>
        <v/>
      </c>
      <c r="C47" s="436" t="str">
        <f ca="1">IF(B47&lt;&gt;"",INDEX(Perf.Sprint!$C$4:$C$41,MATCH(B47,Perf.Sprint!$B$4:$B$41,0)),"")</f>
        <v/>
      </c>
      <c r="D47" s="436" t="s">
        <v>149</v>
      </c>
      <c r="E47" s="436" t="str">
        <f ca="1">B46</f>
        <v/>
      </c>
      <c r="F47" s="436" t="str">
        <f ca="1">IF(E47&lt;&gt;"",INDEX(Perf.Sprint!$C$4:$C$41,MATCH(E47,Perf.Sprint!$B$4:$B$41,0)),"")</f>
        <v/>
      </c>
      <c r="G47" s="436" t="str">
        <f ca="1">CONCATENATE(F47,C47)</f>
        <v/>
      </c>
      <c r="H47" s="437"/>
      <c r="I47" s="438" t="str">
        <f ca="1">IF(B47&lt;&gt;0,INDEX(Perf.Sprint!$BJ$4:$BJ$40,MATCH(B47,Perf.Sprint!$B$4:$B$40,0)),"")</f>
        <v/>
      </c>
      <c r="J47" s="438" t="str">
        <f ca="1">IF(E47&lt;&gt;0,INDEX(Perf.Sprint!$BG$4:$BG$40,MATCH(E47,Perf.Sprint!$B$4:$B$40,0)),"")</f>
        <v/>
      </c>
      <c r="K47" s="438" t="str">
        <f ca="1">IFERROR(SUM(I47+J47),"")</f>
        <v/>
      </c>
      <c r="L47" s="436" t="str">
        <f ca="1">IF(K47="","",ROUND($J$2/K47,1))</f>
        <v/>
      </c>
      <c r="M47" s="439" t="str">
        <f ca="1">IF(K47="","",(L47*3600)/1000)</f>
        <v/>
      </c>
      <c r="N47" s="474"/>
      <c r="O47" s="441" t="str">
        <f>IFERROR(IF(N47="","",ROUND($J$2/N47,1)),"")</f>
        <v/>
      </c>
      <c r="P47" s="442" t="str">
        <f>IF(O47&lt;&gt;"",(O47*3600)/1000,"")</f>
        <v/>
      </c>
      <c r="Q47" s="469"/>
      <c r="R47" s="444"/>
      <c r="S47" s="445"/>
      <c r="T47" s="445"/>
      <c r="U47" s="446"/>
      <c r="V47" s="447" t="str">
        <f>IF(COUNT(N46:N47)=2,SUM(N46:N47),"")</f>
        <v/>
      </c>
      <c r="W47" s="448" t="str">
        <f ca="1">IF($V47="","",IF(OR(AND(C47="M",F47="F"),AND(C47="F",F47="M")),VLOOKUP($V47,INDIRECT("rel"),1),VLOOKUP($V47,INDIRECT(C47&amp;"rel"),1)))</f>
        <v/>
      </c>
      <c r="X47" s="448" t="str">
        <f ca="1">IFERROR(IF(OR(AND(C47="M",F47="F"),AND(C47="F",F47="M")),INDEX(INDIRECT("rel"),MATCH($V47,INDIRECT("rel"))+1),INDEX(INDIRECT(C47&amp;"rel"),MATCH($V47,INDIRECT(C47&amp;"rel"))+1)),"")</f>
        <v/>
      </c>
      <c r="Y47" s="448" t="str">
        <f ca="1">IF(X47="",W47,IF(V47=W47,W47,X47))</f>
        <v/>
      </c>
      <c r="Z47" s="449" t="str">
        <f ca="1">IF(Y47="","",IF(OR(AND(C47="M",F47="F"),AND(C47="F",F47="M")),VLOOKUP(Y47,relais,3),IF(C47="F",VLOOKUP(Y47,relaisf,7),VLOOKUP(Y47,relaisg,5))))</f>
        <v/>
      </c>
      <c r="AA47" s="450" t="str">
        <f t="shared" ref="AA47" ca="1" si="165">IFERROR(AVERAGE(Z46,Z47),"")</f>
        <v/>
      </c>
      <c r="AB47" s="472" t="str">
        <f>IFERROR(IF(COUNT($N47)=1,($N47/K47)-1,""),"")</f>
        <v/>
      </c>
      <c r="AC47" s="452" t="str">
        <f>IF($AB47&lt;&gt;"",INDEX(Barème!$AI$3:$AI$28,MATCH($AB47,Barème!$AH$3:$AH$28,-1)),"")</f>
        <v/>
      </c>
      <c r="AD47" s="450" t="str">
        <f t="shared" ref="AD47" si="166">IF(COUNT(AC46:AC47)&gt;1,AVERAGE(AC46,AC47),"")</f>
        <v/>
      </c>
      <c r="AE47" s="453" t="str">
        <f t="shared" si="132"/>
        <v/>
      </c>
      <c r="AF47" s="450" t="str">
        <f t="shared" ref="AF47" si="167">IFERROR(AVERAGE(AE47,AE46),"")</f>
        <v/>
      </c>
      <c r="AG47" s="432" t="str">
        <f t="shared" si="160"/>
        <v/>
      </c>
      <c r="AH47" s="433" t="str">
        <f t="shared" si="161"/>
        <v/>
      </c>
      <c r="AI47" s="434" t="str">
        <f t="shared" si="162"/>
        <v/>
      </c>
      <c r="AJ47" s="450" t="str">
        <f t="shared" ref="AJ47" si="168">IF(COUNT(AG47:AH47,AI46)=3,MROUND(SUM(AG47,AH47,AI46),0.25),"")</f>
        <v/>
      </c>
      <c r="AK47" s="450" t="str">
        <f t="shared" si="164"/>
        <v/>
      </c>
    </row>
    <row r="48" spans="1:37" ht="15.75" thickBot="1">
      <c r="A48" s="330">
        <v>16</v>
      </c>
      <c r="B48" s="394" t="s">
        <v>176</v>
      </c>
      <c r="C48" s="395" t="s">
        <v>134</v>
      </c>
      <c r="D48" s="396"/>
      <c r="E48" s="396" t="s">
        <v>177</v>
      </c>
      <c r="F48" s="396" t="s">
        <v>134</v>
      </c>
      <c r="G48" s="396"/>
      <c r="H48" s="399" t="s">
        <v>187</v>
      </c>
      <c r="I48" s="398">
        <v>50</v>
      </c>
      <c r="J48" s="398">
        <v>25</v>
      </c>
      <c r="K48" s="399" t="s">
        <v>178</v>
      </c>
      <c r="L48" s="400" t="s">
        <v>139</v>
      </c>
      <c r="M48" s="397" t="s">
        <v>140</v>
      </c>
      <c r="N48" s="401" t="s">
        <v>126</v>
      </c>
      <c r="O48" s="400" t="s">
        <v>139</v>
      </c>
      <c r="P48" s="402" t="s">
        <v>140</v>
      </c>
      <c r="Q48" s="403" t="s">
        <v>170</v>
      </c>
      <c r="R48" s="454" t="s">
        <v>180</v>
      </c>
      <c r="S48" s="455" t="s">
        <v>181</v>
      </c>
      <c r="T48" s="455" t="s">
        <v>182</v>
      </c>
      <c r="U48" s="456" t="s">
        <v>183</v>
      </c>
      <c r="V48" s="457"/>
      <c r="W48" s="458"/>
      <c r="X48" s="458"/>
      <c r="Y48" s="458"/>
      <c r="Z48" s="459"/>
      <c r="AA48" s="460"/>
      <c r="AB48" s="470" t="s">
        <v>188</v>
      </c>
      <c r="AC48" s="411"/>
      <c r="AD48" s="462"/>
      <c r="AE48" s="463" t="str">
        <f t="shared" si="132"/>
        <v/>
      </c>
      <c r="AF48" s="460"/>
      <c r="AG48" s="464" t="s">
        <v>180</v>
      </c>
      <c r="AH48" s="464" t="s">
        <v>152</v>
      </c>
      <c r="AI48" s="465" t="s">
        <v>163</v>
      </c>
      <c r="AJ48" s="457"/>
      <c r="AK48" s="462"/>
    </row>
    <row r="49" spans="1:37" ht="24" customHeight="1">
      <c r="A49" s="321" t="s">
        <v>127</v>
      </c>
      <c r="B49" s="466" t="str">
        <f ca="1">IFERROR('Compo.Relais(1)'!$AF19,"")</f>
        <v/>
      </c>
      <c r="C49" s="413" t="str">
        <f ca="1">IF(B49&lt;&gt;"",INDEX(Perf.Sprint!$C$4:$C$41,MATCH(B49,Perf.Sprint!$B$4:$B$41,0)),"")</f>
        <v/>
      </c>
      <c r="D49" s="413" t="s">
        <v>149</v>
      </c>
      <c r="E49" s="413" t="str">
        <f ca="1">IFERROR('Compo.Relais(1)'!$AH19,"")</f>
        <v/>
      </c>
      <c r="F49" s="413" t="str">
        <f ca="1">IF(E49&lt;&gt;"",INDEX(Perf.Sprint!$C$4:$C$41,MATCH(E49,Perf.Sprint!$B$4:$B$41,0)),"")</f>
        <v/>
      </c>
      <c r="G49" s="413" t="str">
        <f ca="1">CONCATENATE(C49,F49)</f>
        <v/>
      </c>
      <c r="H49" s="414"/>
      <c r="I49" s="415" t="str">
        <f ca="1">IF(B49&lt;&gt;0,INDEX(Perf.Sprint!$BJ$4:$BJ$40,MATCH(B49,Perf.Sprint!$B$4:$B$40,0)),"")</f>
        <v/>
      </c>
      <c r="J49" s="415" t="str">
        <f ca="1">IF(E49&lt;&gt;0,INDEX(Perf.Sprint!$BG$4:$BG$40,MATCH(E49,Perf.Sprint!$B$4:$B$40,0)),"")</f>
        <v/>
      </c>
      <c r="K49" s="416" t="str">
        <f ca="1">IFERROR(SUM(I49+J49),"")</f>
        <v/>
      </c>
      <c r="L49" s="413" t="str">
        <f ca="1">IF(K49="","",ROUND($J$2/K49,1))</f>
        <v/>
      </c>
      <c r="M49" s="417" t="str">
        <f ca="1">IF(K49="","",(L49*3600)/1000)</f>
        <v/>
      </c>
      <c r="N49" s="473"/>
      <c r="O49" s="419" t="str">
        <f>IFERROR(IF(N49="","",ROUND($J$2/N49,1)),"")</f>
        <v/>
      </c>
      <c r="P49" s="420" t="str">
        <f>IF(O49&lt;&gt;"",(O49*3600)/1000,"")</f>
        <v/>
      </c>
      <c r="Q49" s="467"/>
      <c r="R49" s="422"/>
      <c r="S49" s="423"/>
      <c r="T49" s="423"/>
      <c r="U49" s="424"/>
      <c r="V49" s="425" t="str">
        <f>IF(COUNT(N49:N50)=2,SUM(N49:N50),"")</f>
        <v/>
      </c>
      <c r="W49" s="426" t="str">
        <f ca="1">IF($V49="","",IF(OR(AND(C49="M",F49="F"),AND(C49="F",F49="M")),VLOOKUP($V49,INDIRECT("rel"),1),VLOOKUP($V49,INDIRECT(C49&amp;"rel"),1)))</f>
        <v/>
      </c>
      <c r="X49" s="426" t="str">
        <f ca="1">IFERROR(IF(OR(AND(C49="M",F49="F"),AND(C49="F",F49="M")),INDEX(INDIRECT("rel"),MATCH($V49,INDIRECT("rel"))+1),INDEX(INDIRECT(C49&amp;"rel"),MATCH($V49,INDIRECT(C49&amp;"rel"))+1)),"")</f>
        <v/>
      </c>
      <c r="Y49" s="426" t="str">
        <f ca="1">IF(X49="",W49,IF(V49=W49,W49,X49))</f>
        <v/>
      </c>
      <c r="Z49" s="427" t="str">
        <f ca="1">IF(Y49="","",IF(OR(AND(C49="M",F49="F"),AND(C49="F",F49="M")),VLOOKUP(Y49,relais,3),IF(C49="F",VLOOKUP(Y49,relaisf,7),VLOOKUP(Y49,relaisg,5))))</f>
        <v/>
      </c>
      <c r="AA49" s="428" t="str">
        <f t="shared" ref="AA49" ca="1" si="169">IFERROR(AVERAGE(Z49,Z50),"")</f>
        <v/>
      </c>
      <c r="AB49" s="471" t="str">
        <f>IFERROR(IF(COUNT($N49)=1,($N49/K49)-1,""),"")</f>
        <v/>
      </c>
      <c r="AC49" s="430" t="str">
        <f>IF($AB49&lt;&gt;"",INDEX(Barème!$AI$3:$AI$28,MATCH($AB49,Barème!$AH$3:$AH$28,-1)),"")</f>
        <v/>
      </c>
      <c r="AD49" s="428" t="str">
        <f t="shared" ref="AD49" si="170">IF(COUNT(AC49:AC50)&gt;1,AVERAGE(AC49,AC50),"")</f>
        <v/>
      </c>
      <c r="AE49" s="431" t="str">
        <f t="shared" si="132"/>
        <v/>
      </c>
      <c r="AF49" s="428" t="str">
        <f t="shared" ref="AF49" si="171">IFERROR(AVERAGE(AE49:AE50),"")</f>
        <v/>
      </c>
      <c r="AG49" s="432" t="str">
        <f t="shared" ref="AG49:AG50" si="172">IF(COUNTA(R49)=1,COUNTIF(R49,"OUI"),"")</f>
        <v/>
      </c>
      <c r="AH49" s="433" t="str">
        <f t="shared" ref="AH49:AH50" si="173">IF(COUNTA(U49)=1,COUNTIF(U49,"OUI"),"")</f>
        <v/>
      </c>
      <c r="AI49" s="434" t="str">
        <f t="shared" ref="AI49:AI50" si="174">IF(COUNTA(S49:T49)=2,COUNTIF(S49:T49,"OUI"),"")</f>
        <v/>
      </c>
      <c r="AJ49" s="428" t="str">
        <f t="shared" ref="AJ49" si="175">IF(COUNT(AG49:AH49,AI50)=3,MROUND(SUM(AG49,AH49,AI50),0.25),"")</f>
        <v/>
      </c>
      <c r="AK49" s="428" t="str">
        <f t="shared" ref="AK49:AK50" si="176">IFERROR((AF49/4)*3+(AJ49/4)*3,"")</f>
        <v/>
      </c>
    </row>
    <row r="50" spans="1:37" ht="24" customHeight="1" thickBot="1">
      <c r="A50" s="321" t="s">
        <v>128</v>
      </c>
      <c r="B50" s="468" t="str">
        <f ca="1">E49</f>
        <v/>
      </c>
      <c r="C50" s="436" t="str">
        <f ca="1">IF(B50&lt;&gt;"",INDEX(Perf.Sprint!$C$4:$C$41,MATCH(B50,Perf.Sprint!$B$4:$B$41,0)),"")</f>
        <v/>
      </c>
      <c r="D50" s="436" t="s">
        <v>149</v>
      </c>
      <c r="E50" s="436" t="str">
        <f ca="1">B49</f>
        <v/>
      </c>
      <c r="F50" s="436" t="str">
        <f ca="1">IF(E50&lt;&gt;"",INDEX(Perf.Sprint!$C$4:$C$41,MATCH(E50,Perf.Sprint!$B$4:$B$41,0)),"")</f>
        <v/>
      </c>
      <c r="G50" s="436" t="str">
        <f ca="1">CONCATENATE(F50,C50)</f>
        <v/>
      </c>
      <c r="H50" s="437"/>
      <c r="I50" s="438" t="str">
        <f ca="1">IF(B50&lt;&gt;0,INDEX(Perf.Sprint!$BJ$4:$BJ$40,MATCH(B50,Perf.Sprint!$B$4:$B$40,0)),"")</f>
        <v/>
      </c>
      <c r="J50" s="438" t="str">
        <f ca="1">IF(E50&lt;&gt;0,INDEX(Perf.Sprint!$BG$4:$BG$40,MATCH(E50,Perf.Sprint!$B$4:$B$40,0)),"")</f>
        <v/>
      </c>
      <c r="K50" s="438" t="str">
        <f ca="1">IFERROR(SUM(I50+J50),"")</f>
        <v/>
      </c>
      <c r="L50" s="436" t="str">
        <f ca="1">IF(K50="","",ROUND($J$2/K50,1))</f>
        <v/>
      </c>
      <c r="M50" s="439" t="str">
        <f ca="1">IF(K50="","",(L50*3600)/1000)</f>
        <v/>
      </c>
      <c r="N50" s="474"/>
      <c r="O50" s="441" t="str">
        <f>IFERROR(IF(N50="","",ROUND($J$2/N50,1)),"")</f>
        <v/>
      </c>
      <c r="P50" s="442" t="str">
        <f>IF(O50&lt;&gt;"",(O50*3600)/1000,"")</f>
        <v/>
      </c>
      <c r="Q50" s="469"/>
      <c r="R50" s="444"/>
      <c r="S50" s="445"/>
      <c r="T50" s="445"/>
      <c r="U50" s="446"/>
      <c r="V50" s="447" t="str">
        <f>IF(COUNT(N49:N50)=2,SUM(N49:N50),"")</f>
        <v/>
      </c>
      <c r="W50" s="448" t="str">
        <f ca="1">IF($V50="","",IF(OR(AND(C50="M",F50="F"),AND(C50="F",F50="M")),VLOOKUP($V50,INDIRECT("rel"),1),VLOOKUP($V50,INDIRECT(C50&amp;"rel"),1)))</f>
        <v/>
      </c>
      <c r="X50" s="448" t="str">
        <f ca="1">IFERROR(IF(OR(AND(C50="M",F50="F"),AND(C50="F",F50="M")),INDEX(INDIRECT("rel"),MATCH($V50,INDIRECT("rel"))+1),INDEX(INDIRECT(C50&amp;"rel"),MATCH($V50,INDIRECT(C50&amp;"rel"))+1)),"")</f>
        <v/>
      </c>
      <c r="Y50" s="448" t="str">
        <f ca="1">IF(X50="",W50,IF(V50=W50,W50,X50))</f>
        <v/>
      </c>
      <c r="Z50" s="449" t="str">
        <f ca="1">IF(Y50="","",IF(OR(AND(C50="M",F50="F"),AND(C50="F",F50="M")),VLOOKUP(Y50,relais,3),IF(C50="F",VLOOKUP(Y50,relaisf,7),VLOOKUP(Y50,relaisg,5))))</f>
        <v/>
      </c>
      <c r="AA50" s="450" t="str">
        <f t="shared" ref="AA50" ca="1" si="177">IFERROR(AVERAGE(Z49,Z50),"")</f>
        <v/>
      </c>
      <c r="AB50" s="472" t="str">
        <f>IFERROR(IF(COUNT($N50)=1,($N50/K50)-1,""),"")</f>
        <v/>
      </c>
      <c r="AC50" s="452" t="str">
        <f>IF($AB50&lt;&gt;"",INDEX(Barème!$AI$3:$AI$28,MATCH($AB50,Barème!$AH$3:$AH$28,-1)),"")</f>
        <v/>
      </c>
      <c r="AD50" s="450" t="str">
        <f t="shared" ref="AD50" si="178">IF(COUNT(AC49:AC50)&gt;1,AVERAGE(AC49,AC50),"")</f>
        <v/>
      </c>
      <c r="AE50" s="453" t="str">
        <f t="shared" si="132"/>
        <v/>
      </c>
      <c r="AF50" s="450" t="str">
        <f t="shared" ref="AF50" si="179">IFERROR(AVERAGE(AE50,AE49),"")</f>
        <v/>
      </c>
      <c r="AG50" s="432" t="str">
        <f t="shared" si="172"/>
        <v/>
      </c>
      <c r="AH50" s="433" t="str">
        <f t="shared" si="173"/>
        <v/>
      </c>
      <c r="AI50" s="434" t="str">
        <f t="shared" si="174"/>
        <v/>
      </c>
      <c r="AJ50" s="450" t="str">
        <f t="shared" ref="AJ50" si="180">IF(COUNT(AG50:AH50,AI49)=3,MROUND(SUM(AG50,AH50,AI49),0.25),"")</f>
        <v/>
      </c>
      <c r="AK50" s="450" t="str">
        <f t="shared" si="176"/>
        <v/>
      </c>
    </row>
    <row r="51" spans="1:37" ht="15.75" thickBot="1">
      <c r="A51" s="330">
        <v>17</v>
      </c>
      <c r="B51" s="394" t="s">
        <v>176</v>
      </c>
      <c r="C51" s="395" t="s">
        <v>134</v>
      </c>
      <c r="D51" s="396"/>
      <c r="E51" s="396" t="s">
        <v>177</v>
      </c>
      <c r="F51" s="396" t="s">
        <v>134</v>
      </c>
      <c r="G51" s="396"/>
      <c r="H51" s="399" t="s">
        <v>187</v>
      </c>
      <c r="I51" s="398">
        <v>51</v>
      </c>
      <c r="J51" s="398">
        <v>25</v>
      </c>
      <c r="K51" s="399" t="s">
        <v>178</v>
      </c>
      <c r="L51" s="400" t="s">
        <v>139</v>
      </c>
      <c r="M51" s="397" t="s">
        <v>140</v>
      </c>
      <c r="N51" s="401" t="s">
        <v>126</v>
      </c>
      <c r="O51" s="400" t="s">
        <v>139</v>
      </c>
      <c r="P51" s="402" t="s">
        <v>140</v>
      </c>
      <c r="Q51" s="403" t="s">
        <v>170</v>
      </c>
      <c r="R51" s="454" t="s">
        <v>180</v>
      </c>
      <c r="S51" s="455" t="s">
        <v>181</v>
      </c>
      <c r="T51" s="455" t="s">
        <v>182</v>
      </c>
      <c r="U51" s="456" t="s">
        <v>183</v>
      </c>
      <c r="V51" s="457"/>
      <c r="W51" s="458"/>
      <c r="X51" s="458"/>
      <c r="Y51" s="458"/>
      <c r="Z51" s="459"/>
      <c r="AA51" s="460"/>
      <c r="AB51" s="470" t="s">
        <v>188</v>
      </c>
      <c r="AC51" s="411"/>
      <c r="AD51" s="462"/>
      <c r="AE51" s="463" t="str">
        <f t="shared" si="132"/>
        <v/>
      </c>
      <c r="AF51" s="460"/>
      <c r="AG51" s="464" t="s">
        <v>180</v>
      </c>
      <c r="AH51" s="464" t="s">
        <v>152</v>
      </c>
      <c r="AI51" s="465" t="s">
        <v>163</v>
      </c>
      <c r="AJ51" s="457"/>
      <c r="AK51" s="462"/>
    </row>
    <row r="52" spans="1:37" ht="24" customHeight="1">
      <c r="A52" s="321" t="s">
        <v>127</v>
      </c>
      <c r="B52" s="466" t="str">
        <f ca="1">IFERROR('Compo.Relais(1)'!$AF20,"")</f>
        <v/>
      </c>
      <c r="C52" s="413" t="str">
        <f ca="1">IF(B52&lt;&gt;"",INDEX(Perf.Sprint!$C$4:$C$41,MATCH(B52,Perf.Sprint!$B$4:$B$41,0)),"")</f>
        <v/>
      </c>
      <c r="D52" s="413" t="s">
        <v>149</v>
      </c>
      <c r="E52" s="413" t="str">
        <f ca="1">IFERROR('Compo.Relais(1)'!$AH20,"")</f>
        <v/>
      </c>
      <c r="F52" s="413" t="str">
        <f ca="1">IF(E52&lt;&gt;"",INDEX(Perf.Sprint!$C$4:$C$41,MATCH(E52,Perf.Sprint!$B$4:$B$41,0)),"")</f>
        <v/>
      </c>
      <c r="G52" s="413" t="str">
        <f ca="1">CONCATENATE(C52,F52)</f>
        <v/>
      </c>
      <c r="H52" s="414"/>
      <c r="I52" s="415" t="str">
        <f ca="1">IF(B52&lt;&gt;0,INDEX(Perf.Sprint!$BJ$4:$BJ$40,MATCH(B52,Perf.Sprint!$B$4:$B$40,0)),"")</f>
        <v/>
      </c>
      <c r="J52" s="415" t="str">
        <f ca="1">IF(E52&lt;&gt;0,INDEX(Perf.Sprint!$BG$4:$BG$40,MATCH(E52,Perf.Sprint!$B$4:$B$40,0)),"")</f>
        <v/>
      </c>
      <c r="K52" s="416" t="str">
        <f ca="1">IFERROR(SUM(I52+J52),"")</f>
        <v/>
      </c>
      <c r="L52" s="413" t="str">
        <f ca="1">IF(K52="","",ROUND($J$2/K52,1))</f>
        <v/>
      </c>
      <c r="M52" s="417" t="str">
        <f ca="1">IF(K52="","",(L52*3600)/1000)</f>
        <v/>
      </c>
      <c r="N52" s="418"/>
      <c r="O52" s="419" t="str">
        <f>IFERROR(IF(N52="","",ROUND($J$2/N52,1)),"")</f>
        <v/>
      </c>
      <c r="P52" s="420" t="str">
        <f>IF(O52&lt;&gt;"",(O52*3600)/1000,"")</f>
        <v/>
      </c>
      <c r="Q52" s="467"/>
      <c r="R52" s="422"/>
      <c r="S52" s="423"/>
      <c r="T52" s="423"/>
      <c r="U52" s="424"/>
      <c r="V52" s="425" t="str">
        <f>IF(COUNT(N52:N53)=2,SUM(N52:N53),"")</f>
        <v/>
      </c>
      <c r="W52" s="426" t="str">
        <f ca="1">IF($V52="","",IF(OR(AND(C52="M",F52="F"),AND(C52="F",F52="M")),VLOOKUP($V52,INDIRECT("rel"),1),VLOOKUP($V52,INDIRECT(C52&amp;"rel"),1)))</f>
        <v/>
      </c>
      <c r="X52" s="426" t="str">
        <f ca="1">IFERROR(IF(OR(AND(C52="M",F52="F"),AND(C52="F",F52="M")),INDEX(INDIRECT("rel"),MATCH($V52,INDIRECT("rel"))+1),INDEX(INDIRECT(C52&amp;"rel"),MATCH($V52,INDIRECT(C52&amp;"rel"))+1)),"")</f>
        <v/>
      </c>
      <c r="Y52" s="426" t="str">
        <f ca="1">IF(X52="",W52,IF(V52=W52,W52,X52))</f>
        <v/>
      </c>
      <c r="Z52" s="427" t="str">
        <f ca="1">IF(Y52="","",IF(OR(AND(C52="M",F52="F"),AND(C52="F",F52="M")),VLOOKUP(Y52,relais,3),IF(C52="F",VLOOKUP(Y52,relaisf,7),VLOOKUP(Y52,relaisg,5))))</f>
        <v/>
      </c>
      <c r="AA52" s="428" t="str">
        <f t="shared" ref="AA52" ca="1" si="181">IFERROR(AVERAGE(Z52,Z53),"")</f>
        <v/>
      </c>
      <c r="AB52" s="471" t="str">
        <f>IFERROR(IF(COUNT($N52)=1,($N52/K52)-1,""),"")</f>
        <v/>
      </c>
      <c r="AC52" s="430" t="str">
        <f>IF($AB52&lt;&gt;"",INDEX(Barème!$AI$3:$AI$28,MATCH($AB52,Barème!$AH$3:$AH$28,-1)),"")</f>
        <v/>
      </c>
      <c r="AD52" s="428" t="str">
        <f t="shared" ref="AD52" si="182">IF(COUNT(AC52:AC53)&gt;1,AVERAGE(AC52,AC53),"")</f>
        <v/>
      </c>
      <c r="AE52" s="431" t="str">
        <f t="shared" si="132"/>
        <v/>
      </c>
      <c r="AF52" s="428" t="str">
        <f t="shared" ref="AF52" si="183">IFERROR(AVERAGE(AE52:AE53),"")</f>
        <v/>
      </c>
      <c r="AG52" s="432" t="str">
        <f t="shared" ref="AG52:AG53" si="184">IF(COUNTA(R52)=1,COUNTIF(R52,"OUI"),"")</f>
        <v/>
      </c>
      <c r="AH52" s="433" t="str">
        <f t="shared" ref="AH52:AH53" si="185">IF(COUNTA(U52)=1,COUNTIF(U52,"OUI"),"")</f>
        <v/>
      </c>
      <c r="AI52" s="434" t="str">
        <f t="shared" ref="AI52:AI53" si="186">IF(COUNTA(S52:T52)=2,COUNTIF(S52:T52,"OUI"),"")</f>
        <v/>
      </c>
      <c r="AJ52" s="428" t="str">
        <f t="shared" ref="AJ52" si="187">IF(COUNT(AG52:AH52,AI53)=3,MROUND(SUM(AG52,AH52,AI53),0.25),"")</f>
        <v/>
      </c>
      <c r="AK52" s="428" t="str">
        <f t="shared" ref="AK52:AK53" si="188">IFERROR((AF52/4)*3+(AJ52/4)*3,"")</f>
        <v/>
      </c>
    </row>
    <row r="53" spans="1:37" ht="24" customHeight="1" thickBot="1">
      <c r="A53" s="321" t="s">
        <v>128</v>
      </c>
      <c r="B53" s="468" t="str">
        <f ca="1">E52</f>
        <v/>
      </c>
      <c r="C53" s="436" t="str">
        <f ca="1">IF(B53&lt;&gt;"",INDEX(Perf.Sprint!$C$4:$C$41,MATCH(B53,Perf.Sprint!$B$4:$B$41,0)),"")</f>
        <v/>
      </c>
      <c r="D53" s="436" t="s">
        <v>149</v>
      </c>
      <c r="E53" s="436" t="str">
        <f ca="1">B52</f>
        <v/>
      </c>
      <c r="F53" s="436" t="str">
        <f ca="1">IF(E53&lt;&gt;"",INDEX(Perf.Sprint!$C$4:$C$41,MATCH(E53,Perf.Sprint!$B$4:$B$41,0)),"")</f>
        <v/>
      </c>
      <c r="G53" s="436" t="str">
        <f ca="1">CONCATENATE(F53,C53)</f>
        <v/>
      </c>
      <c r="H53" s="437"/>
      <c r="I53" s="438" t="str">
        <f ca="1">IF(B53&lt;&gt;0,INDEX(Perf.Sprint!$BJ$4:$BJ$40,MATCH(B53,Perf.Sprint!$B$4:$B$40,0)),"")</f>
        <v/>
      </c>
      <c r="J53" s="438" t="str">
        <f ca="1">IF(E53&lt;&gt;0,INDEX(Perf.Sprint!$BG$4:$BG$40,MATCH(E53,Perf.Sprint!$B$4:$B$40,0)),"")</f>
        <v/>
      </c>
      <c r="K53" s="438" t="str">
        <f ca="1">IFERROR(SUM(I53+J53),"")</f>
        <v/>
      </c>
      <c r="L53" s="436" t="str">
        <f ca="1">IF(K53="","",ROUND($J$2/K53,1))</f>
        <v/>
      </c>
      <c r="M53" s="439" t="str">
        <f ca="1">IF(K53="","",(L53*3600)/1000)</f>
        <v/>
      </c>
      <c r="N53" s="440"/>
      <c r="O53" s="441" t="str">
        <f>IFERROR(IF(N53="","",ROUND($J$2/N53,1)),"")</f>
        <v/>
      </c>
      <c r="P53" s="442" t="str">
        <f>IF(O53&lt;&gt;"",(O53*3600)/1000,"")</f>
        <v/>
      </c>
      <c r="Q53" s="469"/>
      <c r="R53" s="444"/>
      <c r="S53" s="445"/>
      <c r="T53" s="445"/>
      <c r="U53" s="446"/>
      <c r="V53" s="447" t="str">
        <f>IF(COUNT(N52:N53)=2,SUM(N52:N53),"")</f>
        <v/>
      </c>
      <c r="W53" s="448" t="str">
        <f ca="1">IF($V53="","",IF(OR(AND(C53="M",F53="F"),AND(C53="F",F53="M")),VLOOKUP($V53,INDIRECT("rel"),1),VLOOKUP($V53,INDIRECT(C53&amp;"rel"),1)))</f>
        <v/>
      </c>
      <c r="X53" s="448" t="str">
        <f ca="1">IFERROR(IF(OR(AND(C53="M",F53="F"),AND(C53="F",F53="M")),INDEX(INDIRECT("rel"),MATCH($V53,INDIRECT("rel"))+1),INDEX(INDIRECT(C53&amp;"rel"),MATCH($V53,INDIRECT(C53&amp;"rel"))+1)),"")</f>
        <v/>
      </c>
      <c r="Y53" s="448" t="str">
        <f ca="1">IF(X53="",W53,IF(V53=W53,W53,X53))</f>
        <v/>
      </c>
      <c r="Z53" s="449" t="str">
        <f ca="1">IF(Y53="","",IF(OR(AND(C53="M",F53="F"),AND(C53="F",F53="M")),VLOOKUP(Y53,relais,3),IF(C53="F",VLOOKUP(Y53,relaisf,7),VLOOKUP(Y53,relaisg,5))))</f>
        <v/>
      </c>
      <c r="AA53" s="450" t="str">
        <f t="shared" ref="AA53" ca="1" si="189">IFERROR(AVERAGE(Z52,Z53),"")</f>
        <v/>
      </c>
      <c r="AB53" s="472" t="str">
        <f>IFERROR(IF(COUNT($N53)=1,($N53/K53)-1,""),"")</f>
        <v/>
      </c>
      <c r="AC53" s="452" t="str">
        <f>IF($AB53&lt;&gt;"",INDEX(Barème!$AI$3:$AI$28,MATCH($AB53,Barème!$AH$3:$AH$28,-1)),"")</f>
        <v/>
      </c>
      <c r="AD53" s="450" t="str">
        <f t="shared" ref="AD53" si="190">IF(COUNT(AC52:AC53)&gt;1,AVERAGE(AC52,AC53),"")</f>
        <v/>
      </c>
      <c r="AE53" s="453" t="str">
        <f t="shared" si="132"/>
        <v/>
      </c>
      <c r="AF53" s="450" t="str">
        <f t="shared" ref="AF53" si="191">IFERROR(AVERAGE(AE53,AE52),"")</f>
        <v/>
      </c>
      <c r="AG53" s="432" t="str">
        <f t="shared" si="184"/>
        <v/>
      </c>
      <c r="AH53" s="433" t="str">
        <f t="shared" si="185"/>
        <v/>
      </c>
      <c r="AI53" s="434" t="str">
        <f t="shared" si="186"/>
        <v/>
      </c>
      <c r="AJ53" s="450" t="str">
        <f t="shared" ref="AJ53" si="192">IF(COUNT(AG53:AH53,AI52)=3,MROUND(SUM(AG53,AH53,AI52),0.25),"")</f>
        <v/>
      </c>
      <c r="AK53" s="450" t="str">
        <f t="shared" si="188"/>
        <v/>
      </c>
    </row>
    <row r="54" spans="1:37" ht="15.75" thickBot="1">
      <c r="A54" s="330">
        <v>18</v>
      </c>
      <c r="B54" s="394" t="s">
        <v>176</v>
      </c>
      <c r="C54" s="395" t="s">
        <v>134</v>
      </c>
      <c r="D54" s="396"/>
      <c r="E54" s="396" t="s">
        <v>177</v>
      </c>
      <c r="F54" s="396" t="s">
        <v>134</v>
      </c>
      <c r="G54" s="396"/>
      <c r="H54" s="399" t="s">
        <v>187</v>
      </c>
      <c r="I54" s="398">
        <v>52</v>
      </c>
      <c r="J54" s="398">
        <v>25</v>
      </c>
      <c r="K54" s="399" t="s">
        <v>178</v>
      </c>
      <c r="L54" s="400" t="s">
        <v>139</v>
      </c>
      <c r="M54" s="397" t="s">
        <v>140</v>
      </c>
      <c r="N54" s="401" t="s">
        <v>126</v>
      </c>
      <c r="O54" s="400" t="s">
        <v>139</v>
      </c>
      <c r="P54" s="402" t="s">
        <v>140</v>
      </c>
      <c r="Q54" s="403" t="s">
        <v>170</v>
      </c>
      <c r="R54" s="454" t="s">
        <v>180</v>
      </c>
      <c r="S54" s="455" t="s">
        <v>181</v>
      </c>
      <c r="T54" s="455" t="s">
        <v>182</v>
      </c>
      <c r="U54" s="456" t="s">
        <v>183</v>
      </c>
      <c r="V54" s="457"/>
      <c r="W54" s="458"/>
      <c r="X54" s="458"/>
      <c r="Y54" s="458"/>
      <c r="Z54" s="459"/>
      <c r="AA54" s="460"/>
      <c r="AB54" s="470" t="s">
        <v>188</v>
      </c>
      <c r="AC54" s="411"/>
      <c r="AD54" s="462"/>
      <c r="AE54" s="463" t="str">
        <f t="shared" si="132"/>
        <v/>
      </c>
      <c r="AF54" s="460"/>
      <c r="AG54" s="464" t="s">
        <v>180</v>
      </c>
      <c r="AH54" s="464" t="s">
        <v>152</v>
      </c>
      <c r="AI54" s="465" t="s">
        <v>163</v>
      </c>
      <c r="AJ54" s="457"/>
      <c r="AK54" s="462"/>
    </row>
    <row r="55" spans="1:37" ht="24" customHeight="1">
      <c r="A55" s="321" t="s">
        <v>127</v>
      </c>
      <c r="B55" s="466" t="str">
        <f ca="1">IFERROR('Compo.Relais(1)'!$AF21,"")</f>
        <v/>
      </c>
      <c r="C55" s="413" t="str">
        <f ca="1">IF(B55&lt;&gt;"",INDEX(Perf.Sprint!$C$4:$C$41,MATCH(B55,Perf.Sprint!$B$4:$B$41,0)),"")</f>
        <v/>
      </c>
      <c r="D55" s="413" t="s">
        <v>149</v>
      </c>
      <c r="E55" s="413" t="str">
        <f ca="1">IFERROR('Compo.Relais(1)'!$AH21,"")</f>
        <v/>
      </c>
      <c r="F55" s="413" t="str">
        <f ca="1">IF(E55&lt;&gt;"",INDEX(Perf.Sprint!$C$4:$C$41,MATCH(E55,Perf.Sprint!$B$4:$B$41,0)),"")</f>
        <v/>
      </c>
      <c r="G55" s="413" t="str">
        <f ca="1">CONCATENATE(C55,F55)</f>
        <v/>
      </c>
      <c r="H55" s="414"/>
      <c r="I55" s="415" t="str">
        <f ca="1">IF(B55&lt;&gt;0,INDEX(Perf.Sprint!$BJ$4:$BJ$40,MATCH(B55,Perf.Sprint!$B$4:$B$40,0)),"")</f>
        <v/>
      </c>
      <c r="J55" s="415" t="str">
        <f ca="1">IF(E55&lt;&gt;0,INDEX(Perf.Sprint!$BG$4:$BG$40,MATCH(E55,Perf.Sprint!$B$4:$B$40,0)),"")</f>
        <v/>
      </c>
      <c r="K55" s="416" t="str">
        <f ca="1">IFERROR(SUM(I55+J55),"")</f>
        <v/>
      </c>
      <c r="L55" s="413" t="str">
        <f ca="1">IF(K55="","",ROUND($J$2/K55,1))</f>
        <v/>
      </c>
      <c r="M55" s="417" t="str">
        <f t="shared" ref="M55:M56" ca="1" si="193">IF(K55="","",(L55*3600)/1000)</f>
        <v/>
      </c>
      <c r="N55" s="418"/>
      <c r="O55" s="419" t="str">
        <f>IFERROR(IF(N55="","",ROUND($J$2/N55,1)),"")</f>
        <v/>
      </c>
      <c r="P55" s="420" t="str">
        <f>IF(O55&lt;&gt;"",(O55*3600)/1000,"")</f>
        <v/>
      </c>
      <c r="Q55" s="467"/>
      <c r="R55" s="422"/>
      <c r="S55" s="423"/>
      <c r="T55" s="423"/>
      <c r="U55" s="424"/>
      <c r="V55" s="425" t="str">
        <f>IF(COUNT(N55:N56)=2,SUM(N55:N56),"")</f>
        <v/>
      </c>
      <c r="W55" s="426" t="str">
        <f ca="1">IF($V55="","",IF(OR(AND(C55="M",F55="F"),AND(C55="F",F55="M")),VLOOKUP($V55,INDIRECT("rel"),1),VLOOKUP($V55,INDIRECT(C55&amp;"rel"),1)))</f>
        <v/>
      </c>
      <c r="X55" s="426" t="str">
        <f ca="1">IFERROR(IF(OR(AND(C55="M",F55="F"),AND(C55="F",F55="M")),INDEX(INDIRECT("rel"),MATCH($V55,INDIRECT("rel"))+1),INDEX(INDIRECT(C55&amp;"rel"),MATCH($V55,INDIRECT(C55&amp;"rel"))+1)),"")</f>
        <v/>
      </c>
      <c r="Y55" s="426" t="str">
        <f ca="1">IF(X55="",W55,IF(V55=W55,W55,X55))</f>
        <v/>
      </c>
      <c r="Z55" s="427" t="str">
        <f ca="1">IF(Y55="","",IF(OR(AND(C55="M",F55="F"),AND(C55="F",F55="M")),VLOOKUP(Y55,relais,3),IF(C55="F",VLOOKUP(Y55,relaisf,7),VLOOKUP(Y55,relaisg,5))))</f>
        <v/>
      </c>
      <c r="AA55" s="428" t="str">
        <f t="shared" ref="AA55" ca="1" si="194">IFERROR(AVERAGE(Z55,Z56),"")</f>
        <v/>
      </c>
      <c r="AB55" s="471" t="str">
        <f>IFERROR(IF(COUNT($N55)=1,($N55/K55)-1,""),"")</f>
        <v/>
      </c>
      <c r="AC55" s="430" t="str">
        <f>IF($AB55&lt;&gt;"",INDEX(Barème!$AI$3:$AI$28,MATCH($AB55,Barème!$AH$3:$AH$28,-1)),"")</f>
        <v/>
      </c>
      <c r="AD55" s="428" t="str">
        <f t="shared" ref="AD55" si="195">IF(COUNT(AC55:AC56)&gt;1,AVERAGE(AC55,AC56),"")</f>
        <v/>
      </c>
      <c r="AE55" s="431" t="str">
        <f t="shared" si="132"/>
        <v/>
      </c>
      <c r="AF55" s="428" t="str">
        <f t="shared" ref="AF55" si="196">IFERROR(AVERAGE(AE55:AE56),"")</f>
        <v/>
      </c>
      <c r="AG55" s="432" t="str">
        <f t="shared" ref="AG55:AG56" si="197">IF(COUNTA(R55)=1,COUNTIF(R55,"OUI"),"")</f>
        <v/>
      </c>
      <c r="AH55" s="433" t="str">
        <f t="shared" ref="AH55:AH56" si="198">IF(COUNTA(U55)=1,COUNTIF(U55,"OUI"),"")</f>
        <v/>
      </c>
      <c r="AI55" s="434" t="str">
        <f t="shared" ref="AI55:AI56" si="199">IF(COUNTA(S55:T55)=2,COUNTIF(S55:T55,"OUI"),"")</f>
        <v/>
      </c>
      <c r="AJ55" s="428" t="str">
        <f t="shared" ref="AJ55" si="200">IF(COUNT(AG55:AH55,AI56)=3,MROUND(SUM(AG55,AH55,AI56),0.25),"")</f>
        <v/>
      </c>
      <c r="AK55" s="428" t="str">
        <f t="shared" ref="AK55:AK56" si="201">IFERROR((AF55/4)*3+(AJ55/4)*3,"")</f>
        <v/>
      </c>
    </row>
    <row r="56" spans="1:37" ht="24" customHeight="1" thickBot="1">
      <c r="A56" s="321" t="s">
        <v>128</v>
      </c>
      <c r="B56" s="468" t="str">
        <f ca="1">E55</f>
        <v/>
      </c>
      <c r="C56" s="436" t="str">
        <f ca="1">IF(B56&lt;&gt;"",INDEX(Perf.Sprint!$C$4:$C$41,MATCH(B56,Perf.Sprint!$B$4:$B$41,0)),"")</f>
        <v/>
      </c>
      <c r="D56" s="436" t="s">
        <v>149</v>
      </c>
      <c r="E56" s="436" t="str">
        <f ca="1">B55</f>
        <v/>
      </c>
      <c r="F56" s="436" t="str">
        <f ca="1">IF(E56&lt;&gt;"",INDEX(Perf.Sprint!$C$4:$C$41,MATCH(E56,Perf.Sprint!$B$4:$B$41,0)),"")</f>
        <v/>
      </c>
      <c r="G56" s="436" t="str">
        <f ca="1">CONCATENATE(F56,C56)</f>
        <v/>
      </c>
      <c r="H56" s="437"/>
      <c r="I56" s="438" t="str">
        <f ca="1">IF(B56&lt;&gt;0,INDEX(Perf.Sprint!$BJ$4:$BJ$40,MATCH(B56,Perf.Sprint!$B$4:$B$40,0)),"")</f>
        <v/>
      </c>
      <c r="J56" s="438" t="str">
        <f ca="1">IF(E56&lt;&gt;0,INDEX(Perf.Sprint!$BG$4:$BG$40,MATCH(E56,Perf.Sprint!$B$4:$B$40,0)),"")</f>
        <v/>
      </c>
      <c r="K56" s="438" t="str">
        <f ca="1">IFERROR(SUM(I56+J56),"")</f>
        <v/>
      </c>
      <c r="L56" s="436" t="str">
        <f ca="1">IF(K56="","",ROUND($J$2/K56,1))</f>
        <v/>
      </c>
      <c r="M56" s="439" t="str">
        <f t="shared" ca="1" si="193"/>
        <v/>
      </c>
      <c r="N56" s="440"/>
      <c r="O56" s="441" t="str">
        <f>IFERROR(IF(N56="","",ROUND($J$2/N56,1)),"")</f>
        <v/>
      </c>
      <c r="P56" s="442" t="str">
        <f>IF(O56&lt;&gt;"",(O56*3600)/1000,"")</f>
        <v/>
      </c>
      <c r="Q56" s="469"/>
      <c r="R56" s="444"/>
      <c r="S56" s="445"/>
      <c r="T56" s="445"/>
      <c r="U56" s="446"/>
      <c r="V56" s="447" t="str">
        <f>IF(COUNT(N55:N56)=2,SUM(N55:N56),"")</f>
        <v/>
      </c>
      <c r="W56" s="448" t="str">
        <f ca="1">IF($V56="","",IF(OR(AND(C56="M",F56="F"),AND(C56="F",F56="M")),VLOOKUP($V56,INDIRECT("rel"),1),VLOOKUP($V56,INDIRECT(C56&amp;"rel"),1)))</f>
        <v/>
      </c>
      <c r="X56" s="448" t="str">
        <f ca="1">IFERROR(IF(OR(AND(C56="M",F56="F"),AND(C56="F",F56="M")),INDEX(INDIRECT("rel"),MATCH($V56,INDIRECT("rel"))+1),INDEX(INDIRECT(C56&amp;"rel"),MATCH($V56,INDIRECT(C56&amp;"rel"))+1)),"")</f>
        <v/>
      </c>
      <c r="Y56" s="448" t="str">
        <f ca="1">IF(X56="",W56,IF(V56=W56,W56,X56))</f>
        <v/>
      </c>
      <c r="Z56" s="449" t="str">
        <f ca="1">IF(Y56="","",IF(OR(AND(C56="M",F56="F"),AND(C56="F",F56="M")),VLOOKUP(Y56,relais,3),IF(C56="F",VLOOKUP(Y56,relaisf,7),VLOOKUP(Y56,relaisg,5))))</f>
        <v/>
      </c>
      <c r="AA56" s="450" t="str">
        <f t="shared" ref="AA56" ca="1" si="202">IFERROR(AVERAGE(Z55,Z56),"")</f>
        <v/>
      </c>
      <c r="AB56" s="472" t="str">
        <f>IFERROR(IF(COUNT($N56)=1,($N56/K56)-1,""),"")</f>
        <v/>
      </c>
      <c r="AC56" s="452" t="str">
        <f>IF($AB56&lt;&gt;"",INDEX(Barème!$AI$3:$AI$28,MATCH($AB56,Barème!$AH$3:$AH$28,-1)),"")</f>
        <v/>
      </c>
      <c r="AD56" s="450" t="str">
        <f t="shared" ref="AD56" si="203">IF(COUNT(AC55:AC56)&gt;1,AVERAGE(AC55,AC56),"")</f>
        <v/>
      </c>
      <c r="AE56" s="453" t="str">
        <f t="shared" si="132"/>
        <v/>
      </c>
      <c r="AF56" s="450" t="str">
        <f t="shared" ref="AF56" si="204">IFERROR(AVERAGE(AE56,AE55),"")</f>
        <v/>
      </c>
      <c r="AG56" s="432" t="str">
        <f t="shared" si="197"/>
        <v/>
      </c>
      <c r="AH56" s="433" t="str">
        <f t="shared" si="198"/>
        <v/>
      </c>
      <c r="AI56" s="434" t="str">
        <f t="shared" si="199"/>
        <v/>
      </c>
      <c r="AJ56" s="450" t="str">
        <f t="shared" ref="AJ56" si="205">IF(COUNT(AG56:AH56,AI55)=3,MROUND(SUM(AG56,AH56,AI55),0.25),"")</f>
        <v/>
      </c>
      <c r="AK56" s="450" t="str">
        <f t="shared" si="201"/>
        <v/>
      </c>
    </row>
    <row r="57" spans="1:37" ht="15.75" thickBot="1">
      <c r="A57" s="330">
        <v>19</v>
      </c>
      <c r="B57" s="394" t="s">
        <v>176</v>
      </c>
      <c r="C57" s="395" t="s">
        <v>134</v>
      </c>
      <c r="D57" s="396"/>
      <c r="E57" s="396" t="s">
        <v>177</v>
      </c>
      <c r="F57" s="396" t="s">
        <v>134</v>
      </c>
      <c r="G57" s="396"/>
      <c r="H57" s="399" t="s">
        <v>187</v>
      </c>
      <c r="I57" s="398">
        <v>53</v>
      </c>
      <c r="J57" s="398">
        <v>25</v>
      </c>
      <c r="K57" s="399" t="s">
        <v>178</v>
      </c>
      <c r="L57" s="400" t="s">
        <v>139</v>
      </c>
      <c r="M57" s="397" t="s">
        <v>140</v>
      </c>
      <c r="N57" s="401" t="s">
        <v>126</v>
      </c>
      <c r="O57" s="400" t="s">
        <v>139</v>
      </c>
      <c r="P57" s="402" t="s">
        <v>140</v>
      </c>
      <c r="Q57" s="403" t="s">
        <v>170</v>
      </c>
      <c r="R57" s="454" t="s">
        <v>180</v>
      </c>
      <c r="S57" s="455" t="s">
        <v>181</v>
      </c>
      <c r="T57" s="455" t="s">
        <v>182</v>
      </c>
      <c r="U57" s="456" t="s">
        <v>183</v>
      </c>
      <c r="V57" s="457"/>
      <c r="W57" s="458"/>
      <c r="X57" s="458"/>
      <c r="Y57" s="458"/>
      <c r="Z57" s="459"/>
      <c r="AA57" s="460"/>
      <c r="AB57" s="470" t="s">
        <v>188</v>
      </c>
      <c r="AC57" s="411"/>
      <c r="AD57" s="462"/>
      <c r="AE57" s="463" t="str">
        <f t="shared" si="132"/>
        <v/>
      </c>
      <c r="AF57" s="460"/>
      <c r="AG57" s="464" t="s">
        <v>180</v>
      </c>
      <c r="AH57" s="464" t="s">
        <v>152</v>
      </c>
      <c r="AI57" s="465" t="s">
        <v>163</v>
      </c>
      <c r="AJ57" s="457"/>
      <c r="AK57" s="462"/>
    </row>
    <row r="58" spans="1:37" ht="24" customHeight="1">
      <c r="A58" s="321" t="s">
        <v>127</v>
      </c>
      <c r="B58" s="466" t="str">
        <f ca="1">IFERROR('Compo.Relais(1)'!$AF22,"")</f>
        <v/>
      </c>
      <c r="C58" s="413" t="str">
        <f ca="1">IF(B58&lt;&gt;"",INDEX(Perf.Sprint!$C$4:$C$41,MATCH(B58,Perf.Sprint!$B$4:$B$41,0)),"")</f>
        <v/>
      </c>
      <c r="D58" s="413" t="s">
        <v>149</v>
      </c>
      <c r="E58" s="413" t="str">
        <f ca="1">IFERROR('Compo.Relais(1)'!$AH22,"")</f>
        <v/>
      </c>
      <c r="F58" s="413" t="str">
        <f ca="1">IF(E58&lt;&gt;"",INDEX(Perf.Sprint!$C$4:$C$41,MATCH(E58,Perf.Sprint!$B$4:$B$41,0)),"")</f>
        <v/>
      </c>
      <c r="G58" s="413" t="str">
        <f ca="1">CONCATENATE(C58,F58)</f>
        <v/>
      </c>
      <c r="H58" s="414"/>
      <c r="I58" s="415" t="str">
        <f ca="1">IF(B58&lt;&gt;0,INDEX(Perf.Sprint!$BJ$4:$BJ$40,MATCH(B58,Perf.Sprint!$B$4:$B$40,0)),"")</f>
        <v/>
      </c>
      <c r="J58" s="415" t="str">
        <f ca="1">IF(E58&lt;&gt;0,INDEX(Perf.Sprint!$BG$4:$BG$40,MATCH(E58,Perf.Sprint!$B$4:$B$40,0)),"")</f>
        <v/>
      </c>
      <c r="K58" s="416" t="str">
        <f ca="1">IFERROR(SUM(I58+J58),"")</f>
        <v/>
      </c>
      <c r="L58" s="413" t="str">
        <f ca="1">IF(K58="","",ROUND($J$2/K58,1))</f>
        <v/>
      </c>
      <c r="M58" s="417" t="str">
        <f t="shared" ref="M58:M59" ca="1" si="206">IF(K58="","",(L58*3600)/1000)</f>
        <v/>
      </c>
      <c r="N58" s="418"/>
      <c r="O58" s="419" t="str">
        <f>IFERROR(IF(N58="","",ROUND($J$2/N58,1)),"")</f>
        <v/>
      </c>
      <c r="P58" s="420" t="str">
        <f>IF(O58&lt;&gt;"",(O58*3600)/1000,"")</f>
        <v/>
      </c>
      <c r="Q58" s="467"/>
      <c r="R58" s="422"/>
      <c r="S58" s="423"/>
      <c r="T58" s="423"/>
      <c r="U58" s="424"/>
      <c r="V58" s="425" t="str">
        <f>IF(COUNT(N58:N59)=2,SUM(N58:N59),"")</f>
        <v/>
      </c>
      <c r="W58" s="426" t="str">
        <f ca="1">IF($V58="","",IF(OR(AND(C58="M",F58="F"),AND(C58="F",F58="M")),VLOOKUP($V58,INDIRECT("rel"),1),VLOOKUP($V58,INDIRECT(C58&amp;"rel"),1)))</f>
        <v/>
      </c>
      <c r="X58" s="426" t="str">
        <f ca="1">IFERROR(IF(OR(AND(C58="M",F58="F"),AND(C58="F",F58="M")),INDEX(INDIRECT("rel"),MATCH($V58,INDIRECT("rel"))+1),INDEX(INDIRECT(C58&amp;"rel"),MATCH($V58,INDIRECT(C58&amp;"rel"))+1)),"")</f>
        <v/>
      </c>
      <c r="Y58" s="426" t="str">
        <f ca="1">IF(X58="",W58,IF(V58=W58,W58,X58))</f>
        <v/>
      </c>
      <c r="Z58" s="427" t="str">
        <f ca="1">IF(Y58="","",IF(OR(AND(C58="M",F58="F"),AND(C58="F",F58="M")),VLOOKUP(Y58,relais,3),IF(C58="F",VLOOKUP(Y58,relaisf,7),VLOOKUP(Y58,relaisg,5))))</f>
        <v/>
      </c>
      <c r="AA58" s="428" t="str">
        <f t="shared" ref="AA58" ca="1" si="207">IFERROR(AVERAGE(Z58,Z59),"")</f>
        <v/>
      </c>
      <c r="AB58" s="471" t="str">
        <f>IFERROR(IF(COUNT($N58)=1,($N58/K58)-1,""),"")</f>
        <v/>
      </c>
      <c r="AC58" s="430" t="str">
        <f>IF($AB58&lt;&gt;"",INDEX(Barème!$AI$3:$AI$28,MATCH($AB58,Barème!$AH$3:$AH$28,-1)),"")</f>
        <v/>
      </c>
      <c r="AD58" s="428" t="str">
        <f t="shared" ref="AD58" si="208">IF(COUNT(AC58:AC59)&gt;1,AVERAGE(AC58,AC59),"")</f>
        <v/>
      </c>
      <c r="AE58" s="431" t="str">
        <f t="shared" si="132"/>
        <v/>
      </c>
      <c r="AF58" s="428" t="str">
        <f t="shared" ref="AF58" si="209">IFERROR(AVERAGE(AE58:AE59),"")</f>
        <v/>
      </c>
      <c r="AG58" s="432" t="str">
        <f t="shared" ref="AG58:AG59" si="210">IF(COUNTA(R58)=1,COUNTIF(R58,"OUI"),"")</f>
        <v/>
      </c>
      <c r="AH58" s="433" t="str">
        <f t="shared" ref="AH58:AH59" si="211">IF(COUNTA(U58)=1,COUNTIF(U58,"OUI"),"")</f>
        <v/>
      </c>
      <c r="AI58" s="434" t="str">
        <f t="shared" ref="AI58:AI59" si="212">IF(COUNTA(S58:T58)=2,COUNTIF(S58:T58,"OUI"),"")</f>
        <v/>
      </c>
      <c r="AJ58" s="428" t="str">
        <f t="shared" ref="AJ58" si="213">IF(COUNT(AG58:AH58,AI59)=3,MROUND(SUM(AG58,AH58,AI59),0.25),"")</f>
        <v/>
      </c>
      <c r="AK58" s="428" t="str">
        <f t="shared" ref="AK58:AK59" si="214">IFERROR((AF58/4)*3+(AJ58/4)*3,"")</f>
        <v/>
      </c>
    </row>
    <row r="59" spans="1:37" ht="24" customHeight="1" thickBot="1">
      <c r="A59" s="321" t="s">
        <v>128</v>
      </c>
      <c r="B59" s="468" t="str">
        <f ca="1">E58</f>
        <v/>
      </c>
      <c r="C59" s="436" t="str">
        <f ca="1">IF(B59&lt;&gt;"",INDEX(Perf.Sprint!$C$4:$C$41,MATCH(B59,Perf.Sprint!$B$4:$B$41,0)),"")</f>
        <v/>
      </c>
      <c r="D59" s="436" t="s">
        <v>149</v>
      </c>
      <c r="E59" s="436" t="str">
        <f ca="1">B58</f>
        <v/>
      </c>
      <c r="F59" s="436" t="str">
        <f ca="1">IF(E59&lt;&gt;"",INDEX(Perf.Sprint!$C$4:$C$41,MATCH(E59,Perf.Sprint!$B$4:$B$41,0)),"")</f>
        <v/>
      </c>
      <c r="G59" s="436" t="str">
        <f ca="1">CONCATENATE(F59,C59)</f>
        <v/>
      </c>
      <c r="H59" s="437"/>
      <c r="I59" s="438" t="str">
        <f ca="1">IF(B59&lt;&gt;0,INDEX(Perf.Sprint!$BJ$4:$BJ$40,MATCH(B59,Perf.Sprint!$B$4:$B$40,0)),"")</f>
        <v/>
      </c>
      <c r="J59" s="438" t="str">
        <f ca="1">IF(E59&lt;&gt;0,INDEX(Perf.Sprint!$BG$4:$BG$40,MATCH(E59,Perf.Sprint!$B$4:$B$40,0)),"")</f>
        <v/>
      </c>
      <c r="K59" s="438" t="str">
        <f ca="1">IFERROR(SUM(I59+J59),"")</f>
        <v/>
      </c>
      <c r="L59" s="436" t="str">
        <f ca="1">IF(K59="","",ROUND($J$2/K59,1))</f>
        <v/>
      </c>
      <c r="M59" s="439" t="str">
        <f t="shared" ca="1" si="206"/>
        <v/>
      </c>
      <c r="N59" s="440"/>
      <c r="O59" s="441" t="str">
        <f>IFERROR(IF(N59="","",ROUND($J$2/N59,1)),"")</f>
        <v/>
      </c>
      <c r="P59" s="442" t="str">
        <f>IF(O59&lt;&gt;"",(O59*3600)/1000,"")</f>
        <v/>
      </c>
      <c r="Q59" s="469"/>
      <c r="R59" s="444"/>
      <c r="S59" s="445"/>
      <c r="T59" s="445"/>
      <c r="U59" s="446"/>
      <c r="V59" s="447" t="str">
        <f>IF(COUNT(N58:N59)=2,SUM(N58:N59),"")</f>
        <v/>
      </c>
      <c r="W59" s="448" t="str">
        <f ca="1">IF($V59="","",IF(OR(AND(C59="M",F59="F"),AND(C59="F",F59="M")),VLOOKUP($V59,INDIRECT("rel"),1),VLOOKUP($V59,INDIRECT(C59&amp;"rel"),1)))</f>
        <v/>
      </c>
      <c r="X59" s="448" t="str">
        <f ca="1">IFERROR(IF(OR(AND(C59="M",F59="F"),AND(C59="F",F59="M")),INDEX(INDIRECT("rel"),MATCH($V59,INDIRECT("rel"))+1),INDEX(INDIRECT(C59&amp;"rel"),MATCH($V59,INDIRECT(C59&amp;"rel"))+1)),"")</f>
        <v/>
      </c>
      <c r="Y59" s="448" t="str">
        <f ca="1">IF(X59="",W59,IF(V59=W59,W59,X59))</f>
        <v/>
      </c>
      <c r="Z59" s="449" t="str">
        <f ca="1">IF(Y59="","",IF(OR(AND(C59="M",F59="F"),AND(C59="F",F59="M")),VLOOKUP(Y59,relais,3),IF(C59="F",VLOOKUP(Y59,relaisf,7),VLOOKUP(Y59,relaisg,5))))</f>
        <v/>
      </c>
      <c r="AA59" s="450" t="str">
        <f t="shared" ref="AA59" ca="1" si="215">IFERROR(AVERAGE(Z58,Z59),"")</f>
        <v/>
      </c>
      <c r="AB59" s="472" t="str">
        <f>IFERROR(IF(COUNT($N59)=1,($N59/K59)-1,""),"")</f>
        <v/>
      </c>
      <c r="AC59" s="452" t="str">
        <f>IF($AB59&lt;&gt;"",INDEX(Barème!$AI$3:$AI$28,MATCH($AB59,Barème!$AH$3:$AH$28,-1)),"")</f>
        <v/>
      </c>
      <c r="AD59" s="450" t="str">
        <f t="shared" ref="AD59" si="216">IF(COUNT(AC58:AC59)&gt;1,AVERAGE(AC58,AC59),"")</f>
        <v/>
      </c>
      <c r="AE59" s="453" t="str">
        <f t="shared" si="132"/>
        <v/>
      </c>
      <c r="AF59" s="450" t="str">
        <f t="shared" ref="AF59" si="217">IFERROR(AVERAGE(AE59,AE58),"")</f>
        <v/>
      </c>
      <c r="AG59" s="432" t="str">
        <f t="shared" si="210"/>
        <v/>
      </c>
      <c r="AH59" s="433" t="str">
        <f t="shared" si="211"/>
        <v/>
      </c>
      <c r="AI59" s="434" t="str">
        <f t="shared" si="212"/>
        <v/>
      </c>
      <c r="AJ59" s="450" t="str">
        <f t="shared" ref="AJ59" si="218">IF(COUNT(AG59:AH59,AI58)=3,MROUND(SUM(AG59,AH59,AI58),0.25),"")</f>
        <v/>
      </c>
      <c r="AK59" s="450" t="str">
        <f t="shared" si="214"/>
        <v/>
      </c>
    </row>
    <row r="60" spans="1:37" ht="15.75" thickBot="1">
      <c r="A60" s="330">
        <v>20</v>
      </c>
      <c r="B60" s="394" t="s">
        <v>176</v>
      </c>
      <c r="C60" s="395" t="s">
        <v>134</v>
      </c>
      <c r="D60" s="396"/>
      <c r="E60" s="396" t="s">
        <v>177</v>
      </c>
      <c r="F60" s="396" t="s">
        <v>134</v>
      </c>
      <c r="G60" s="396"/>
      <c r="H60" s="399" t="s">
        <v>187</v>
      </c>
      <c r="I60" s="398">
        <v>54</v>
      </c>
      <c r="J60" s="398">
        <v>25</v>
      </c>
      <c r="K60" s="399" t="s">
        <v>178</v>
      </c>
      <c r="L60" s="400" t="s">
        <v>139</v>
      </c>
      <c r="M60" s="397" t="s">
        <v>140</v>
      </c>
      <c r="N60" s="401" t="s">
        <v>126</v>
      </c>
      <c r="O60" s="400" t="s">
        <v>139</v>
      </c>
      <c r="P60" s="402" t="s">
        <v>140</v>
      </c>
      <c r="Q60" s="403" t="s">
        <v>170</v>
      </c>
      <c r="R60" s="454" t="s">
        <v>180</v>
      </c>
      <c r="S60" s="455" t="s">
        <v>181</v>
      </c>
      <c r="T60" s="455" t="s">
        <v>182</v>
      </c>
      <c r="U60" s="456" t="s">
        <v>183</v>
      </c>
      <c r="V60" s="457"/>
      <c r="W60" s="458"/>
      <c r="X60" s="458"/>
      <c r="Y60" s="458"/>
      <c r="Z60" s="459"/>
      <c r="AA60" s="460"/>
      <c r="AB60" s="470" t="s">
        <v>188</v>
      </c>
      <c r="AC60" s="411"/>
      <c r="AD60" s="462"/>
      <c r="AE60" s="463" t="str">
        <f t="shared" si="132"/>
        <v/>
      </c>
      <c r="AF60" s="460"/>
      <c r="AG60" s="464" t="s">
        <v>180</v>
      </c>
      <c r="AH60" s="464" t="s">
        <v>152</v>
      </c>
      <c r="AI60" s="465" t="s">
        <v>163</v>
      </c>
      <c r="AJ60" s="457"/>
      <c r="AK60" s="462"/>
    </row>
    <row r="61" spans="1:37" ht="24" customHeight="1">
      <c r="A61" s="321" t="s">
        <v>127</v>
      </c>
      <c r="B61" s="466" t="str">
        <f ca="1">IFERROR('Compo.Relais(1)'!$AF23,"")</f>
        <v/>
      </c>
      <c r="C61" s="413" t="str">
        <f ca="1">IF(B61&lt;&gt;"",INDEX(Perf.Sprint!$C$4:$C$41,MATCH(B61,Perf.Sprint!$B$4:$B$41,0)),"")</f>
        <v/>
      </c>
      <c r="D61" s="413" t="s">
        <v>149</v>
      </c>
      <c r="E61" s="413" t="str">
        <f ca="1">IFERROR('Compo.Relais(1)'!$AH23,"")</f>
        <v/>
      </c>
      <c r="F61" s="413" t="str">
        <f ca="1">IF(E61&lt;&gt;"",INDEX(Perf.Sprint!$C$4:$C$41,MATCH(E61,Perf.Sprint!$B$4:$B$41,0)),"")</f>
        <v/>
      </c>
      <c r="G61" s="413"/>
      <c r="H61" s="414"/>
      <c r="I61" s="415" t="str">
        <f ca="1">IF(B61&lt;&gt;0,INDEX(Perf.Sprint!$BJ$4:$BJ$40,MATCH(B61,Perf.Sprint!$B$4:$B$40,0)),"")</f>
        <v/>
      </c>
      <c r="J61" s="415" t="str">
        <f ca="1">IF(E61&lt;&gt;0,INDEX(Perf.Sprint!$BG$4:$BG$40,MATCH(E61,Perf.Sprint!$B$4:$B$40,0)),"")</f>
        <v/>
      </c>
      <c r="K61" s="416" t="str">
        <f ca="1">IFERROR(SUM(I61+J61),"")</f>
        <v/>
      </c>
      <c r="L61" s="413" t="str">
        <f ca="1">IF(K61="","",ROUND($J$2/K61,1))</f>
        <v/>
      </c>
      <c r="M61" s="417" t="str">
        <f t="shared" ref="M61:M62" ca="1" si="219">IF(K61="","",(L61*3600)/1000)</f>
        <v/>
      </c>
      <c r="N61" s="418"/>
      <c r="O61" s="419" t="str">
        <f>IFERROR(IF(N61="","",ROUND($J$2/N61,1)),"")</f>
        <v/>
      </c>
      <c r="P61" s="420" t="str">
        <f>IF(O61&lt;&gt;"",(O61*3600)/1000,"")</f>
        <v/>
      </c>
      <c r="Q61" s="467"/>
      <c r="R61" s="422"/>
      <c r="S61" s="423"/>
      <c r="T61" s="423"/>
      <c r="U61" s="424"/>
      <c r="V61" s="425" t="str">
        <f>IF(COUNT(N61:N62)=2,SUM(N61:N62),"")</f>
        <v/>
      </c>
      <c r="W61" s="426" t="str">
        <f ca="1">IF($V61="","",IF(OR(AND(C61="M",F61="F"),AND(C61="F",F61="M")),VLOOKUP($V61,INDIRECT("rel"),1),VLOOKUP($V61,INDIRECT(C61&amp;"rel"),1)))</f>
        <v/>
      </c>
      <c r="X61" s="426" t="str">
        <f ca="1">IFERROR(IF(OR(AND(C61="M",F61="F"),AND(C61="F",F61="M")),INDEX(INDIRECT("rel"),MATCH($V61,INDIRECT("rel"))+1),INDEX(INDIRECT(C61&amp;"rel"),MATCH($V61,INDIRECT(C61&amp;"rel"))+1)),"")</f>
        <v/>
      </c>
      <c r="Y61" s="426" t="str">
        <f ca="1">IF(X61="",W61,IF(V61=W61,W61,X61))</f>
        <v/>
      </c>
      <c r="Z61" s="427" t="str">
        <f ca="1">IF(Y61="","",IF(OR(AND(C61="M",F61="F"),AND(C61="F",F61="M")),VLOOKUP(Y61,relais,3),IF(C61="F",VLOOKUP(Y61,relaisf,7),VLOOKUP(Y61,relaisg,5))))</f>
        <v/>
      </c>
      <c r="AA61" s="428" t="str">
        <f t="shared" ref="AA61" ca="1" si="220">IFERROR(AVERAGE(Z61,Z62),"")</f>
        <v/>
      </c>
      <c r="AB61" s="471" t="str">
        <f>IFERROR(IF(COUNT($N61)=1,($N61/K61)-1,""),"")</f>
        <v/>
      </c>
      <c r="AC61" s="430" t="str">
        <f>IF($AB61&lt;&gt;"",INDEX(Barème!$AI$3:$AI$28,MATCH($AB61,Barème!$AH$3:$AH$28,-1)),"")</f>
        <v/>
      </c>
      <c r="AD61" s="428" t="str">
        <f t="shared" ref="AD61" si="221">IF(COUNT(AC61:AC62)&gt;1,AVERAGE(AC61,AC62),"")</f>
        <v/>
      </c>
      <c r="AE61" s="431" t="str">
        <f t="shared" si="132"/>
        <v/>
      </c>
      <c r="AF61" s="428" t="str">
        <f t="shared" ref="AF61" si="222">IFERROR(AVERAGE(AE61:AE62),"")</f>
        <v/>
      </c>
      <c r="AG61" s="432" t="str">
        <f t="shared" ref="AG61:AG62" si="223">IF(COUNTA(R61)=1,COUNTIF(R61,"OUI"),"")</f>
        <v/>
      </c>
      <c r="AH61" s="433" t="str">
        <f t="shared" ref="AH61:AH62" si="224">IF(COUNTA(U61)=1,COUNTIF(U61,"OUI"),"")</f>
        <v/>
      </c>
      <c r="AI61" s="434" t="str">
        <f t="shared" ref="AI61:AI62" si="225">IF(COUNTA(S61:T61)=2,COUNTIF(S61:T61,"OUI"),"")</f>
        <v/>
      </c>
      <c r="AJ61" s="428" t="str">
        <f t="shared" ref="AJ61" si="226">IF(COUNT(AG61:AH61,AI62)=3,MROUND(SUM(AG61,AH61,AI62),0.25),"")</f>
        <v/>
      </c>
      <c r="AK61" s="428" t="str">
        <f t="shared" ref="AK61:AK62" si="227">IFERROR((AF61/4)*3+(AJ61/4)*3,"")</f>
        <v/>
      </c>
    </row>
    <row r="62" spans="1:37" ht="24" customHeight="1" thickBot="1">
      <c r="A62" s="321" t="s">
        <v>128</v>
      </c>
      <c r="B62" s="468" t="str">
        <f ca="1">E61</f>
        <v/>
      </c>
      <c r="C62" s="436" t="str">
        <f ca="1">IF(B62&lt;&gt;"",INDEX(Perf.Sprint!$C$4:$C$41,MATCH(B62,Perf.Sprint!$B$4:$B$41,0)),"")</f>
        <v/>
      </c>
      <c r="D62" s="436" t="s">
        <v>149</v>
      </c>
      <c r="E62" s="436" t="str">
        <f ca="1">B61</f>
        <v/>
      </c>
      <c r="F62" s="436" t="str">
        <f ca="1">IF(E62&lt;&gt;"",INDEX(Perf.Sprint!$C$4:$C$41,MATCH(E62,Perf.Sprint!$B$4:$B$41,0)),"")</f>
        <v/>
      </c>
      <c r="G62" s="436"/>
      <c r="H62" s="437"/>
      <c r="I62" s="438" t="str">
        <f ca="1">IF(B62&lt;&gt;0,INDEX(Perf.Sprint!$BJ$4:$BJ$40,MATCH(B62,Perf.Sprint!$B$4:$B$40,0)),"")</f>
        <v/>
      </c>
      <c r="J62" s="438" t="str">
        <f ca="1">IF(E62&lt;&gt;0,INDEX(Perf.Sprint!$BG$4:$BG$40,MATCH(E62,Perf.Sprint!$B$4:$B$40,0)),"")</f>
        <v/>
      </c>
      <c r="K62" s="438" t="str">
        <f ca="1">IFERROR(SUM(I62+J62),"")</f>
        <v/>
      </c>
      <c r="L62" s="436" t="str">
        <f ca="1">IF(K62="","",ROUND($J$2/K62,1))</f>
        <v/>
      </c>
      <c r="M62" s="439" t="str">
        <f t="shared" ca="1" si="219"/>
        <v/>
      </c>
      <c r="N62" s="440"/>
      <c r="O62" s="441" t="str">
        <f>IFERROR(IF(N62="","",ROUND($J$2/N62,1)),"")</f>
        <v/>
      </c>
      <c r="P62" s="442" t="str">
        <f>IF(O62&lt;&gt;"",(O62*3600)/1000,"")</f>
        <v/>
      </c>
      <c r="Q62" s="469"/>
      <c r="R62" s="444"/>
      <c r="S62" s="445"/>
      <c r="T62" s="445"/>
      <c r="U62" s="446"/>
      <c r="V62" s="447" t="str">
        <f>IF(COUNT(N61:N62)=2,SUM(N61:N62),"")</f>
        <v/>
      </c>
      <c r="W62" s="448" t="str">
        <f ca="1">IF($V62="","",IF(OR(AND(C62="M",F62="F"),AND(C62="F",F62="M")),VLOOKUP($V62,INDIRECT("rel"),1),VLOOKUP($V62,INDIRECT(C62&amp;"rel"),1)))</f>
        <v/>
      </c>
      <c r="X62" s="448" t="str">
        <f ca="1">IFERROR(IF(OR(AND(C62="M",F62="F"),AND(C62="F",F62="M")),INDEX(INDIRECT("rel"),MATCH($V62,INDIRECT("rel"))+1),INDEX(INDIRECT(C62&amp;"rel"),MATCH($V62,INDIRECT(C62&amp;"rel"))+1)),"")</f>
        <v/>
      </c>
      <c r="Y62" s="448" t="str">
        <f ca="1">IF(X62="",W62,IF(V62=W62,W62,X62))</f>
        <v/>
      </c>
      <c r="Z62" s="449" t="str">
        <f ca="1">IF(Y62="","",IF(OR(AND(C62="M",F62="F"),AND(C62="F",F62="M")),VLOOKUP(Y62,relais,3),IF(C62="F",VLOOKUP(Y62,relaisf,7),VLOOKUP(Y62,relaisg,5))))</f>
        <v/>
      </c>
      <c r="AA62" s="450" t="str">
        <f t="shared" ref="AA62" ca="1" si="228">IFERROR(AVERAGE(Z61,Z62),"")</f>
        <v/>
      </c>
      <c r="AB62" s="472" t="str">
        <f>IFERROR(IF(COUNT($N62)=1,($N62/K62)-1,""),"")</f>
        <v/>
      </c>
      <c r="AC62" s="452" t="str">
        <f>IF($AB62&lt;&gt;"",INDEX(Barème!$AI$3:$AI$28,MATCH($AB62,Barème!$AH$3:$AH$28,-1)),"")</f>
        <v/>
      </c>
      <c r="AD62" s="450" t="str">
        <f t="shared" ref="AD62" si="229">IF(COUNT(AC61:AC62)&gt;1,AVERAGE(AC61,AC62),"")</f>
        <v/>
      </c>
      <c r="AE62" s="453" t="str">
        <f t="shared" si="132"/>
        <v/>
      </c>
      <c r="AF62" s="450" t="str">
        <f t="shared" ref="AF62" si="230">IFERROR(AVERAGE(AE62,AE61),"")</f>
        <v/>
      </c>
      <c r="AG62" s="432" t="str">
        <f t="shared" si="223"/>
        <v/>
      </c>
      <c r="AH62" s="433" t="str">
        <f t="shared" si="224"/>
        <v/>
      </c>
      <c r="AI62" s="434" t="str">
        <f t="shared" si="225"/>
        <v/>
      </c>
      <c r="AJ62" s="450" t="str">
        <f t="shared" ref="AJ62" si="231">IF(COUNT(AG62:AH62,AI61)=3,MROUND(SUM(AG62,AH62,AI61),0.25),"")</f>
        <v/>
      </c>
      <c r="AK62" s="450" t="str">
        <f t="shared" si="227"/>
        <v/>
      </c>
    </row>
    <row r="63" spans="1:37" ht="24" customHeight="1" thickBot="1">
      <c r="A63" s="330">
        <v>21</v>
      </c>
      <c r="B63" s="394" t="s">
        <v>176</v>
      </c>
      <c r="C63" s="395" t="s">
        <v>134</v>
      </c>
      <c r="D63" s="396"/>
      <c r="E63" s="396" t="s">
        <v>177</v>
      </c>
      <c r="F63" s="396" t="s">
        <v>134</v>
      </c>
      <c r="G63" s="396"/>
      <c r="H63" s="399" t="s">
        <v>187</v>
      </c>
      <c r="I63" s="398">
        <v>54</v>
      </c>
      <c r="J63" s="398">
        <v>25</v>
      </c>
      <c r="K63" s="399" t="s">
        <v>178</v>
      </c>
      <c r="L63" s="400" t="s">
        <v>139</v>
      </c>
      <c r="M63" s="397" t="s">
        <v>140</v>
      </c>
      <c r="N63" s="401" t="s">
        <v>126</v>
      </c>
      <c r="O63" s="400" t="s">
        <v>139</v>
      </c>
      <c r="P63" s="402" t="s">
        <v>140</v>
      </c>
      <c r="Q63" s="403" t="s">
        <v>170</v>
      </c>
      <c r="R63" s="454" t="s">
        <v>180</v>
      </c>
      <c r="S63" s="455" t="s">
        <v>181</v>
      </c>
      <c r="T63" s="455" t="s">
        <v>182</v>
      </c>
      <c r="U63" s="456" t="s">
        <v>183</v>
      </c>
      <c r="V63" s="457"/>
      <c r="W63" s="458"/>
      <c r="X63" s="458"/>
      <c r="Y63" s="458"/>
      <c r="Z63" s="459"/>
      <c r="AA63" s="460"/>
      <c r="AB63" s="470" t="s">
        <v>188</v>
      </c>
      <c r="AC63" s="411"/>
      <c r="AD63" s="462"/>
      <c r="AE63" s="463" t="str">
        <f t="shared" ref="AE63:AE68" si="232">IFERROR(INDEX(Pts_Zone,MATCH(Q63,Zone,0)),"")</f>
        <v/>
      </c>
      <c r="AF63" s="460"/>
      <c r="AG63" s="464" t="s">
        <v>180</v>
      </c>
      <c r="AH63" s="464" t="s">
        <v>152</v>
      </c>
      <c r="AI63" s="465" t="s">
        <v>163</v>
      </c>
      <c r="AJ63" s="457"/>
      <c r="AK63" s="462"/>
    </row>
    <row r="64" spans="1:37" ht="24" customHeight="1">
      <c r="A64" s="321" t="s">
        <v>127</v>
      </c>
      <c r="B64" s="466" t="str">
        <f ca="1">IFERROR('Compo.Relais(1)'!$AF24,"")</f>
        <v/>
      </c>
      <c r="C64" s="413" t="str">
        <f ca="1">IF(B64&lt;&gt;"",INDEX(Perf.Sprint!$C$4:$C$41,MATCH(B64,Perf.Sprint!$B$4:$B$41,0)),"")</f>
        <v/>
      </c>
      <c r="D64" s="413" t="s">
        <v>149</v>
      </c>
      <c r="E64" s="413" t="str">
        <f ca="1">IFERROR('Compo.Relais(1)'!$AH24,"")</f>
        <v/>
      </c>
      <c r="F64" s="413" t="str">
        <f ca="1">IF(E64&lt;&gt;"",INDEX(Perf.Sprint!$C$4:$C$41,MATCH(E64,Perf.Sprint!$B$4:$B$41,0)),"")</f>
        <v/>
      </c>
      <c r="G64" s="413"/>
      <c r="H64" s="414"/>
      <c r="I64" s="415" t="str">
        <f ca="1">IF(B64&lt;&gt;0,INDEX(Perf.Sprint!$BJ$4:$BJ$40,MATCH(B64,Perf.Sprint!$B$4:$B$40,0)),"")</f>
        <v/>
      </c>
      <c r="J64" s="415" t="str">
        <f ca="1">IF(E64&lt;&gt;0,INDEX(Perf.Sprint!$BG$4:$BG$40,MATCH(E64,Perf.Sprint!$B$4:$B$40,0)),"")</f>
        <v/>
      </c>
      <c r="K64" s="416" t="str">
        <f t="shared" ref="K64:K65" ca="1" si="233">IFERROR(SUM(I64+J64),"")</f>
        <v/>
      </c>
      <c r="L64" s="413" t="str">
        <f t="shared" ref="L64:L65" ca="1" si="234">IF(K64="","",ROUND($J$2/K64,1))</f>
        <v/>
      </c>
      <c r="M64" s="417" t="str">
        <f t="shared" ref="M64:M65" ca="1" si="235">IF(K64="","",(L64*3600)/1000)</f>
        <v/>
      </c>
      <c r="N64" s="418"/>
      <c r="O64" s="419" t="str">
        <f t="shared" ref="O64:O65" si="236">IFERROR(IF(N64="","",ROUND($J$2/N64,1)),"")</f>
        <v/>
      </c>
      <c r="P64" s="420" t="str">
        <f t="shared" ref="P64:P65" si="237">IF(O64&lt;&gt;"",(O64*3600)/1000,"")</f>
        <v/>
      </c>
      <c r="Q64" s="467"/>
      <c r="R64" s="422"/>
      <c r="S64" s="423"/>
      <c r="T64" s="423"/>
      <c r="U64" s="424"/>
      <c r="V64" s="425" t="str">
        <f t="shared" ref="V64" si="238">IF(COUNT(N64:N65)=2,SUM(N64:N65),"")</f>
        <v/>
      </c>
      <c r="W64" s="426" t="str">
        <f t="shared" ref="W64:W65" ca="1" si="239">IF($V64="","",IF(OR(AND(C64="M",F64="F"),AND(C64="F",F64="M")),VLOOKUP($V64,INDIRECT("rel"),1),VLOOKUP($V64,INDIRECT(C64&amp;"rel"),1)))</f>
        <v/>
      </c>
      <c r="X64" s="426" t="str">
        <f t="shared" ref="X64:X65" ca="1" si="240">IFERROR(IF(OR(AND(C64="M",F64="F"),AND(C64="F",F64="M")),INDEX(INDIRECT("rel"),MATCH($V64,INDIRECT("rel"))+1),INDEX(INDIRECT(C64&amp;"rel"),MATCH($V64,INDIRECT(C64&amp;"rel"))+1)),"")</f>
        <v/>
      </c>
      <c r="Y64" s="426" t="str">
        <f t="shared" ref="Y64:Y65" ca="1" si="241">IF(X64="",W64,IF(V64=W64,W64,X64))</f>
        <v/>
      </c>
      <c r="Z64" s="427" t="str">
        <f ca="1">IF(Y64="","",IF(OR(AND(C64="M",F64="F"),AND(C64="F",F64="M")),VLOOKUP(Y64,relais,3),IF(C64="F",VLOOKUP(Y64,relaisf,7),VLOOKUP(Y64,relaisg,5))))</f>
        <v/>
      </c>
      <c r="AA64" s="428" t="str">
        <f t="shared" ref="AA64" ca="1" si="242">IFERROR(AVERAGE(Z64,Z65),"")</f>
        <v/>
      </c>
      <c r="AB64" s="471" t="str">
        <f t="shared" ref="AB64:AB65" si="243">IFERROR(IF(COUNT($N64)=1,($N64/K64)-1,""),"")</f>
        <v/>
      </c>
      <c r="AC64" s="430" t="str">
        <f>IF($AB64&lt;&gt;"",INDEX(Barème!$AI$3:$AI$28,MATCH($AB64,Barème!$AH$3:$AH$28,-1)),"")</f>
        <v/>
      </c>
      <c r="AD64" s="428" t="str">
        <f t="shared" ref="AD64" si="244">IF(COUNT(AC64:AC65)&gt;1,AVERAGE(AC64,AC65),"")</f>
        <v/>
      </c>
      <c r="AE64" s="431" t="str">
        <f t="shared" si="232"/>
        <v/>
      </c>
      <c r="AF64" s="428" t="str">
        <f t="shared" ref="AF64" si="245">IFERROR(AVERAGE(AE64:AE65),"")</f>
        <v/>
      </c>
      <c r="AG64" s="432" t="str">
        <f t="shared" ref="AG64:AG65" si="246">IF(COUNTA(R64)=1,COUNTIF(R64,"OUI"),"")</f>
        <v/>
      </c>
      <c r="AH64" s="433" t="str">
        <f t="shared" ref="AH64:AH65" si="247">IF(COUNTA(U64)=1,COUNTIF(U64,"OUI"),"")</f>
        <v/>
      </c>
      <c r="AI64" s="434" t="str">
        <f t="shared" ref="AI64:AI65" si="248">IF(COUNTA(S64:T64)=2,COUNTIF(S64:T64,"OUI"),"")</f>
        <v/>
      </c>
      <c r="AJ64" s="428" t="str">
        <f t="shared" ref="AJ64" si="249">IF(COUNT(AG64:AH64,AI65)=3,MROUND(SUM(AG64,AH64,AI65),0.25),"")</f>
        <v/>
      </c>
      <c r="AK64" s="428" t="str">
        <f t="shared" ref="AK64:AK65" si="250">IFERROR((AF64/4)*3+(AJ64/4)*3,"")</f>
        <v/>
      </c>
    </row>
    <row r="65" spans="1:38" ht="24" customHeight="1" thickBot="1">
      <c r="A65" s="321" t="s">
        <v>128</v>
      </c>
      <c r="B65" s="468" t="str">
        <f t="shared" ref="B65" ca="1" si="251">E64</f>
        <v/>
      </c>
      <c r="C65" s="436" t="str">
        <f ca="1">IF(B65&lt;&gt;"",INDEX(Perf.Sprint!$C$4:$C$41,MATCH(B65,Perf.Sprint!$B$4:$B$41,0)),"")</f>
        <v/>
      </c>
      <c r="D65" s="436" t="s">
        <v>149</v>
      </c>
      <c r="E65" s="436" t="str">
        <f t="shared" ref="E65" ca="1" si="252">B64</f>
        <v/>
      </c>
      <c r="F65" s="436" t="str">
        <f ca="1">IF(E65&lt;&gt;"",INDEX(Perf.Sprint!$C$4:$C$41,MATCH(E65,Perf.Sprint!$B$4:$B$41,0)),"")</f>
        <v/>
      </c>
      <c r="G65" s="436"/>
      <c r="H65" s="437"/>
      <c r="I65" s="438" t="str">
        <f ca="1">IF(B65&lt;&gt;0,INDEX(Perf.Sprint!$BJ$4:$BJ$40,MATCH(B65,Perf.Sprint!$B$4:$B$40,0)),"")</f>
        <v/>
      </c>
      <c r="J65" s="438" t="str">
        <f ca="1">IF(E65&lt;&gt;0,INDEX(Perf.Sprint!$BG$4:$BG$40,MATCH(E65,Perf.Sprint!$B$4:$B$40,0)),"")</f>
        <v/>
      </c>
      <c r="K65" s="438" t="str">
        <f t="shared" ca="1" si="233"/>
        <v/>
      </c>
      <c r="L65" s="436" t="str">
        <f t="shared" ca="1" si="234"/>
        <v/>
      </c>
      <c r="M65" s="439" t="str">
        <f t="shared" ca="1" si="235"/>
        <v/>
      </c>
      <c r="N65" s="440"/>
      <c r="O65" s="441" t="str">
        <f t="shared" si="236"/>
        <v/>
      </c>
      <c r="P65" s="442" t="str">
        <f t="shared" si="237"/>
        <v/>
      </c>
      <c r="Q65" s="469"/>
      <c r="R65" s="444"/>
      <c r="S65" s="445"/>
      <c r="T65" s="445"/>
      <c r="U65" s="446"/>
      <c r="V65" s="447" t="str">
        <f t="shared" ref="V65" si="253">IF(COUNT(N64:N65)=2,SUM(N64:N65),"")</f>
        <v/>
      </c>
      <c r="W65" s="448" t="str">
        <f t="shared" ca="1" si="239"/>
        <v/>
      </c>
      <c r="X65" s="448" t="str">
        <f t="shared" ca="1" si="240"/>
        <v/>
      </c>
      <c r="Y65" s="448" t="str">
        <f t="shared" ca="1" si="241"/>
        <v/>
      </c>
      <c r="Z65" s="449" t="str">
        <f ca="1">IF(Y65="","",IF(OR(AND(C65="M",F65="F"),AND(C65="F",F65="M")),VLOOKUP(Y65,relais,3),IF(C65="F",VLOOKUP(Y65,relaisf,7),VLOOKUP(Y65,relaisg,5))))</f>
        <v/>
      </c>
      <c r="AA65" s="450" t="str">
        <f t="shared" ref="AA65" ca="1" si="254">IFERROR(AVERAGE(Z64,Z65),"")</f>
        <v/>
      </c>
      <c r="AB65" s="472" t="str">
        <f t="shared" si="243"/>
        <v/>
      </c>
      <c r="AC65" s="452" t="str">
        <f>IF($AB65&lt;&gt;"",INDEX(Barème!$AI$3:$AI$28,MATCH($AB65,Barème!$AH$3:$AH$28,-1)),"")</f>
        <v/>
      </c>
      <c r="AD65" s="450" t="str">
        <f t="shared" ref="AD65" si="255">IF(COUNT(AC64:AC65)&gt;1,AVERAGE(AC64,AC65),"")</f>
        <v/>
      </c>
      <c r="AE65" s="453" t="str">
        <f t="shared" si="232"/>
        <v/>
      </c>
      <c r="AF65" s="450" t="str">
        <f t="shared" ref="AF65" si="256">IFERROR(AVERAGE(AE65,AE64),"")</f>
        <v/>
      </c>
      <c r="AG65" s="432" t="str">
        <f t="shared" si="246"/>
        <v/>
      </c>
      <c r="AH65" s="433" t="str">
        <f t="shared" si="247"/>
        <v/>
      </c>
      <c r="AI65" s="434" t="str">
        <f t="shared" si="248"/>
        <v/>
      </c>
      <c r="AJ65" s="450" t="str">
        <f t="shared" ref="AJ65" si="257">IF(COUNT(AG65:AH65,AI64)=3,MROUND(SUM(AG65,AH65,AI64),0.25),"")</f>
        <v/>
      </c>
      <c r="AK65" s="450" t="str">
        <f t="shared" si="250"/>
        <v/>
      </c>
    </row>
    <row r="66" spans="1:38" ht="24" customHeight="1" thickBot="1">
      <c r="A66" s="330">
        <v>22</v>
      </c>
      <c r="B66" s="394" t="s">
        <v>176</v>
      </c>
      <c r="C66" s="395" t="s">
        <v>134</v>
      </c>
      <c r="D66" s="396"/>
      <c r="E66" s="396" t="s">
        <v>177</v>
      </c>
      <c r="F66" s="396" t="s">
        <v>134</v>
      </c>
      <c r="G66" s="396"/>
      <c r="H66" s="399" t="s">
        <v>187</v>
      </c>
      <c r="I66" s="398">
        <v>54</v>
      </c>
      <c r="J66" s="398">
        <v>25</v>
      </c>
      <c r="K66" s="399" t="s">
        <v>178</v>
      </c>
      <c r="L66" s="400" t="s">
        <v>139</v>
      </c>
      <c r="M66" s="397" t="s">
        <v>140</v>
      </c>
      <c r="N66" s="401" t="s">
        <v>126</v>
      </c>
      <c r="O66" s="400" t="s">
        <v>139</v>
      </c>
      <c r="P66" s="402" t="s">
        <v>140</v>
      </c>
      <c r="Q66" s="403" t="s">
        <v>170</v>
      </c>
      <c r="R66" s="454" t="s">
        <v>180</v>
      </c>
      <c r="S66" s="455" t="s">
        <v>181</v>
      </c>
      <c r="T66" s="455" t="s">
        <v>182</v>
      </c>
      <c r="U66" s="456" t="s">
        <v>183</v>
      </c>
      <c r="V66" s="457"/>
      <c r="W66" s="458"/>
      <c r="X66" s="458"/>
      <c r="Y66" s="458"/>
      <c r="Z66" s="459"/>
      <c r="AA66" s="460"/>
      <c r="AB66" s="470" t="s">
        <v>188</v>
      </c>
      <c r="AC66" s="411"/>
      <c r="AD66" s="462"/>
      <c r="AE66" s="463" t="str">
        <f t="shared" si="232"/>
        <v/>
      </c>
      <c r="AF66" s="460"/>
      <c r="AG66" s="464" t="s">
        <v>180</v>
      </c>
      <c r="AH66" s="464" t="s">
        <v>152</v>
      </c>
      <c r="AI66" s="465" t="s">
        <v>163</v>
      </c>
      <c r="AJ66" s="457"/>
      <c r="AK66" s="462"/>
    </row>
    <row r="67" spans="1:38" ht="24" customHeight="1">
      <c r="A67" s="321" t="s">
        <v>127</v>
      </c>
      <c r="B67" s="466" t="str">
        <f ca="1">IFERROR('Compo.Relais(1)'!$AF25,"")</f>
        <v/>
      </c>
      <c r="C67" s="413" t="str">
        <f ca="1">IF(B67&lt;&gt;"",INDEX(Perf.Sprint!$C$4:$C$41,MATCH(B67,Perf.Sprint!$B$4:$B$41,0)),"")</f>
        <v/>
      </c>
      <c r="D67" s="413" t="s">
        <v>149</v>
      </c>
      <c r="E67" s="413" t="str">
        <f ca="1">IFERROR('Compo.Relais(1)'!$AH25,"")</f>
        <v/>
      </c>
      <c r="F67" s="413" t="str">
        <f ca="1">IF(E67&lt;&gt;"",INDEX(Perf.Sprint!$C$4:$C$41,MATCH(E67,Perf.Sprint!$B$4:$B$41,0)),"")</f>
        <v/>
      </c>
      <c r="G67" s="413"/>
      <c r="H67" s="414"/>
      <c r="I67" s="415" t="str">
        <f ca="1">IF(B67&lt;&gt;0,INDEX(Perf.Sprint!$BJ$4:$BJ$40,MATCH(B67,Perf.Sprint!$B$4:$B$40,0)),"")</f>
        <v/>
      </c>
      <c r="J67" s="415" t="str">
        <f ca="1">IF(E67&lt;&gt;0,INDEX(Perf.Sprint!$BG$4:$BG$40,MATCH(E67,Perf.Sprint!$B$4:$B$40,0)),"")</f>
        <v/>
      </c>
      <c r="K67" s="416" t="str">
        <f t="shared" ref="K67:K68" ca="1" si="258">IFERROR(SUM(I67+J67),"")</f>
        <v/>
      </c>
      <c r="L67" s="413" t="str">
        <f t="shared" ref="L67:L68" ca="1" si="259">IF(K67="","",ROUND($J$2/K67,1))</f>
        <v/>
      </c>
      <c r="M67" s="417" t="str">
        <f t="shared" ref="M67:M68" ca="1" si="260">IF(K67="","",(L67*3600)/1000)</f>
        <v/>
      </c>
      <c r="N67" s="418"/>
      <c r="O67" s="419" t="str">
        <f t="shared" ref="O67:O68" si="261">IFERROR(IF(N67="","",ROUND($J$2/N67,1)),"")</f>
        <v/>
      </c>
      <c r="P67" s="420" t="str">
        <f t="shared" ref="P67:P68" si="262">IF(O67&lt;&gt;"",(O67*3600)/1000,"")</f>
        <v/>
      </c>
      <c r="Q67" s="467"/>
      <c r="R67" s="422"/>
      <c r="S67" s="423"/>
      <c r="T67" s="423"/>
      <c r="U67" s="424"/>
      <c r="V67" s="425" t="str">
        <f t="shared" ref="V67" si="263">IF(COUNT(N67:N68)=2,SUM(N67:N68),"")</f>
        <v/>
      </c>
      <c r="W67" s="426" t="str">
        <f t="shared" ref="W67:W68" ca="1" si="264">IF($V67="","",IF(OR(AND(C67="M",F67="F"),AND(C67="F",F67="M")),VLOOKUP($V67,INDIRECT("rel"),1),VLOOKUP($V67,INDIRECT(C67&amp;"rel"),1)))</f>
        <v/>
      </c>
      <c r="X67" s="426" t="str">
        <f t="shared" ref="X67:X68" ca="1" si="265">IFERROR(IF(OR(AND(C67="M",F67="F"),AND(C67="F",F67="M")),INDEX(INDIRECT("rel"),MATCH($V67,INDIRECT("rel"))+1),INDEX(INDIRECT(C67&amp;"rel"),MATCH($V67,INDIRECT(C67&amp;"rel"))+1)),"")</f>
        <v/>
      </c>
      <c r="Y67" s="426" t="str">
        <f t="shared" ref="Y67:Y68" ca="1" si="266">IF(X67="",W67,IF(V67=W67,W67,X67))</f>
        <v/>
      </c>
      <c r="Z67" s="427" t="str">
        <f ca="1">IF(Y67="","",IF(OR(AND(C67="M",F67="F"),AND(C67="F",F67="M")),VLOOKUP(Y67,relais,3),IF(C67="F",VLOOKUP(Y67,relaisf,7),VLOOKUP(Y67,relaisg,5))))</f>
        <v/>
      </c>
      <c r="AA67" s="428" t="str">
        <f t="shared" ref="AA67" ca="1" si="267">IFERROR(AVERAGE(Z67,Z68),"")</f>
        <v/>
      </c>
      <c r="AB67" s="471" t="str">
        <f t="shared" ref="AB67:AB68" si="268">IFERROR(IF(COUNT($N67)=1,($N67/K67)-1,""),"")</f>
        <v/>
      </c>
      <c r="AC67" s="430" t="str">
        <f>IF($AB67&lt;&gt;"",INDEX(Barème!$AI$3:$AI$28,MATCH($AB67,Barème!$AH$3:$AH$28,-1)),"")</f>
        <v/>
      </c>
      <c r="AD67" s="428" t="str">
        <f t="shared" ref="AD67" si="269">IF(COUNT(AC67:AC68)&gt;1,AVERAGE(AC67,AC68),"")</f>
        <v/>
      </c>
      <c r="AE67" s="431" t="str">
        <f t="shared" si="232"/>
        <v/>
      </c>
      <c r="AF67" s="428" t="str">
        <f t="shared" ref="AF67" si="270">IFERROR(AVERAGE(AE67:AE68),"")</f>
        <v/>
      </c>
      <c r="AG67" s="432" t="str">
        <f t="shared" ref="AG67:AG68" si="271">IF(COUNTA(R67)=1,COUNTIF(R67,"OUI"),"")</f>
        <v/>
      </c>
      <c r="AH67" s="433" t="str">
        <f t="shared" ref="AH67:AH68" si="272">IF(COUNTA(U67)=1,COUNTIF(U67,"OUI"),"")</f>
        <v/>
      </c>
      <c r="AI67" s="434" t="str">
        <f t="shared" ref="AI67:AI68" si="273">IF(COUNTA(S67:T67)=2,COUNTIF(S67:T67,"OUI"),"")</f>
        <v/>
      </c>
      <c r="AJ67" s="428" t="str">
        <f t="shared" ref="AJ67" si="274">IF(COUNT(AG67:AH67,AI68)=3,MROUND(SUM(AG67,AH67,AI68),0.25),"")</f>
        <v/>
      </c>
      <c r="AK67" s="428" t="str">
        <f t="shared" ref="AK67:AK68" si="275">IFERROR((AF67/4)*3+(AJ67/4)*3,"")</f>
        <v/>
      </c>
    </row>
    <row r="68" spans="1:38" ht="24" customHeight="1" thickBot="1">
      <c r="A68" s="321" t="s">
        <v>128</v>
      </c>
      <c r="B68" s="468" t="str">
        <f t="shared" ref="B68" ca="1" si="276">E67</f>
        <v/>
      </c>
      <c r="C68" s="436" t="str">
        <f ca="1">IF(B68&lt;&gt;"",INDEX(Perf.Sprint!$C$4:$C$41,MATCH(B68,Perf.Sprint!$B$4:$B$41,0)),"")</f>
        <v/>
      </c>
      <c r="D68" s="436" t="s">
        <v>149</v>
      </c>
      <c r="E68" s="436" t="str">
        <f t="shared" ref="E68" ca="1" si="277">B67</f>
        <v/>
      </c>
      <c r="F68" s="436" t="str">
        <f ca="1">IF(E68&lt;&gt;"",INDEX(Perf.Sprint!$C$4:$C$41,MATCH(E68,Perf.Sprint!$B$4:$B$41,0)),"")</f>
        <v/>
      </c>
      <c r="G68" s="436"/>
      <c r="H68" s="437"/>
      <c r="I68" s="438" t="str">
        <f ca="1">IF(B68&lt;&gt;0,INDEX(Perf.Sprint!$BJ$4:$BJ$40,MATCH(B68,Perf.Sprint!$B$4:$B$40,0)),"")</f>
        <v/>
      </c>
      <c r="J68" s="438" t="str">
        <f ca="1">IF(E68&lt;&gt;0,INDEX(Perf.Sprint!$BG$4:$BG$40,MATCH(E68,Perf.Sprint!$B$4:$B$40,0)),"")</f>
        <v/>
      </c>
      <c r="K68" s="438" t="str">
        <f t="shared" ca="1" si="258"/>
        <v/>
      </c>
      <c r="L68" s="436" t="str">
        <f t="shared" ca="1" si="259"/>
        <v/>
      </c>
      <c r="M68" s="439" t="str">
        <f t="shared" ca="1" si="260"/>
        <v/>
      </c>
      <c r="N68" s="440"/>
      <c r="O68" s="441" t="str">
        <f t="shared" si="261"/>
        <v/>
      </c>
      <c r="P68" s="442" t="str">
        <f t="shared" si="262"/>
        <v/>
      </c>
      <c r="Q68" s="469"/>
      <c r="R68" s="444"/>
      <c r="S68" s="445"/>
      <c r="T68" s="445"/>
      <c r="U68" s="446"/>
      <c r="V68" s="447" t="str">
        <f t="shared" ref="V68" si="278">IF(COUNT(N67:N68)=2,SUM(N67:N68),"")</f>
        <v/>
      </c>
      <c r="W68" s="448" t="str">
        <f t="shared" ca="1" si="264"/>
        <v/>
      </c>
      <c r="X68" s="448" t="str">
        <f t="shared" ca="1" si="265"/>
        <v/>
      </c>
      <c r="Y68" s="448" t="str">
        <f t="shared" ca="1" si="266"/>
        <v/>
      </c>
      <c r="Z68" s="449" t="str">
        <f ca="1">IF(Y68="","",IF(OR(AND(C68="M",F68="F"),AND(C68="F",F68="M")),VLOOKUP(Y68,relais,3),IF(C68="F",VLOOKUP(Y68,relaisf,7),VLOOKUP(Y68,relaisg,5))))</f>
        <v/>
      </c>
      <c r="AA68" s="450" t="str">
        <f t="shared" ref="AA68" ca="1" si="279">IFERROR(AVERAGE(Z67,Z68),"")</f>
        <v/>
      </c>
      <c r="AB68" s="472" t="str">
        <f t="shared" si="268"/>
        <v/>
      </c>
      <c r="AC68" s="452" t="str">
        <f>IF($AB68&lt;&gt;"",INDEX(Barème!$AI$3:$AI$28,MATCH($AB68,Barème!$AH$3:$AH$28,-1)),"")</f>
        <v/>
      </c>
      <c r="AD68" s="450" t="str">
        <f t="shared" ref="AD68" si="280">IF(COUNT(AC67:AC68)&gt;1,AVERAGE(AC67,AC68),"")</f>
        <v/>
      </c>
      <c r="AE68" s="453" t="str">
        <f t="shared" si="232"/>
        <v/>
      </c>
      <c r="AF68" s="450" t="str">
        <f t="shared" ref="AF68" si="281">IFERROR(AVERAGE(AE68,AE67),"")</f>
        <v/>
      </c>
      <c r="AG68" s="432" t="str">
        <f t="shared" si="271"/>
        <v/>
      </c>
      <c r="AH68" s="433" t="str">
        <f t="shared" si="272"/>
        <v/>
      </c>
      <c r="AI68" s="434" t="str">
        <f t="shared" si="273"/>
        <v/>
      </c>
      <c r="AJ68" s="450" t="str">
        <f t="shared" ref="AJ68" si="282">IF(COUNT(AG68:AH68,AI67)=3,MROUND(SUM(AG68,AH68,AI67),0.25),"")</f>
        <v/>
      </c>
      <c r="AK68" s="450" t="str">
        <f t="shared" si="275"/>
        <v/>
      </c>
    </row>
    <row r="69" spans="1:38" ht="15.75" thickBot="1">
      <c r="A69" s="330">
        <v>23</v>
      </c>
      <c r="B69" s="394" t="s">
        <v>176</v>
      </c>
      <c r="C69" s="395" t="s">
        <v>134</v>
      </c>
      <c r="D69" s="396"/>
      <c r="E69" s="396" t="s">
        <v>177</v>
      </c>
      <c r="F69" s="396" t="s">
        <v>134</v>
      </c>
      <c r="G69" s="396"/>
      <c r="H69" s="399" t="s">
        <v>187</v>
      </c>
      <c r="I69" s="398">
        <v>54</v>
      </c>
      <c r="J69" s="398">
        <v>25</v>
      </c>
      <c r="K69" s="399" t="s">
        <v>178</v>
      </c>
      <c r="L69" s="400" t="s">
        <v>139</v>
      </c>
      <c r="M69" s="397" t="s">
        <v>140</v>
      </c>
      <c r="N69" s="401" t="s">
        <v>126</v>
      </c>
      <c r="O69" s="400" t="s">
        <v>139</v>
      </c>
      <c r="P69" s="402" t="s">
        <v>140</v>
      </c>
      <c r="Q69" s="403" t="s">
        <v>170</v>
      </c>
      <c r="R69" s="454" t="s">
        <v>180</v>
      </c>
      <c r="S69" s="455" t="s">
        <v>181</v>
      </c>
      <c r="T69" s="455" t="s">
        <v>182</v>
      </c>
      <c r="U69" s="456" t="s">
        <v>183</v>
      </c>
      <c r="V69" s="457"/>
      <c r="W69" s="458"/>
      <c r="X69" s="458"/>
      <c r="Y69" s="458"/>
      <c r="Z69" s="459"/>
      <c r="AA69" s="460"/>
      <c r="AB69" s="470" t="s">
        <v>188</v>
      </c>
      <c r="AC69" s="411"/>
      <c r="AD69" s="462"/>
      <c r="AE69" s="463" t="str">
        <f t="shared" ref="AE69:AE71" si="283">IFERROR(INDEX(Pts_Zone,MATCH(Q69,Zone,0)),"")</f>
        <v/>
      </c>
      <c r="AF69" s="460"/>
      <c r="AG69" s="464" t="s">
        <v>180</v>
      </c>
      <c r="AH69" s="464" t="s">
        <v>152</v>
      </c>
      <c r="AI69" s="465" t="s">
        <v>163</v>
      </c>
      <c r="AJ69" s="457"/>
      <c r="AK69" s="462"/>
    </row>
    <row r="70" spans="1:38" ht="24" customHeight="1">
      <c r="A70" s="321" t="s">
        <v>127</v>
      </c>
      <c r="B70" s="466" t="str">
        <f ca="1">IFERROR('Compo.Relais(1)'!$AF26,"")</f>
        <v/>
      </c>
      <c r="C70" s="413" t="str">
        <f ca="1">IF(B70&lt;&gt;"",INDEX(Perf.Sprint!$C$4:$C$41,MATCH(B70,Perf.Sprint!$B$4:$B$41,0)),"")</f>
        <v/>
      </c>
      <c r="D70" s="413" t="s">
        <v>149</v>
      </c>
      <c r="E70" s="413" t="str">
        <f ca="1">IFERROR('Compo.Relais(1)'!$AH26,"")</f>
        <v/>
      </c>
      <c r="F70" s="413" t="str">
        <f ca="1">IF(E70&lt;&gt;"",INDEX(Perf.Sprint!$C$4:$C$41,MATCH(E70,Perf.Sprint!$B$4:$B$41,0)),"")</f>
        <v/>
      </c>
      <c r="G70" s="413"/>
      <c r="H70" s="414"/>
      <c r="I70" s="415" t="str">
        <f ca="1">IF(B70&lt;&gt;0,INDEX(Perf.Sprint!$BJ$4:$BJ$40,MATCH(B70,Perf.Sprint!$B$4:$B$40,0)),"")</f>
        <v/>
      </c>
      <c r="J70" s="415" t="str">
        <f ca="1">IF(E70&lt;&gt;0,INDEX(Perf.Sprint!$BG$4:$BG$40,MATCH(E70,Perf.Sprint!$B$4:$B$40,0)),"")</f>
        <v/>
      </c>
      <c r="K70" s="416" t="str">
        <f t="shared" ref="K70:K71" ca="1" si="284">IFERROR(SUM(I70+J70),"")</f>
        <v/>
      </c>
      <c r="L70" s="413" t="str">
        <f t="shared" ref="L70:L71" ca="1" si="285">IF(K70="","",ROUND($J$2/K70,1))</f>
        <v/>
      </c>
      <c r="M70" s="417" t="str">
        <f t="shared" ref="M70:M71" ca="1" si="286">IF(K70="","",(L70*3600)/1000)</f>
        <v/>
      </c>
      <c r="N70" s="418"/>
      <c r="O70" s="419" t="str">
        <f t="shared" ref="O70:O71" si="287">IFERROR(IF(N70="","",ROUND($J$2/N70,1)),"")</f>
        <v/>
      </c>
      <c r="P70" s="420" t="str">
        <f t="shared" ref="P70:P71" si="288">IF(O70&lt;&gt;"",(O70*3600)/1000,"")</f>
        <v/>
      </c>
      <c r="Q70" s="467"/>
      <c r="R70" s="422"/>
      <c r="S70" s="423"/>
      <c r="T70" s="423"/>
      <c r="U70" s="424"/>
      <c r="V70" s="425" t="str">
        <f t="shared" ref="V70" si="289">IF(COUNT(N70:N71)=2,SUM(N70:N71),"")</f>
        <v/>
      </c>
      <c r="W70" s="426" t="str">
        <f t="shared" ref="W70:W71" ca="1" si="290">IF($V70="","",IF(OR(AND(C70="M",F70="F"),AND(C70="F",F70="M")),VLOOKUP($V70,INDIRECT("rel"),1),VLOOKUP($V70,INDIRECT(C70&amp;"rel"),1)))</f>
        <v/>
      </c>
      <c r="X70" s="426" t="str">
        <f t="shared" ref="X70:X71" ca="1" si="291">IFERROR(IF(OR(AND(C70="M",F70="F"),AND(C70="F",F70="M")),INDEX(INDIRECT("rel"),MATCH($V70,INDIRECT("rel"))+1),INDEX(INDIRECT(C70&amp;"rel"),MATCH($V70,INDIRECT(C70&amp;"rel"))+1)),"")</f>
        <v/>
      </c>
      <c r="Y70" s="426" t="str">
        <f t="shared" ref="Y70:Y71" ca="1" si="292">IF(X70="",W70,IF(V70=W70,W70,X70))</f>
        <v/>
      </c>
      <c r="Z70" s="427" t="str">
        <f ca="1">IF(Y70="","",IF(OR(AND(C70="M",F70="F"),AND(C70="F",F70="M")),VLOOKUP(Y70,relais,3),IF(C70="F",VLOOKUP(Y70,relaisf,7),VLOOKUP(Y70,relaisg,5))))</f>
        <v/>
      </c>
      <c r="AA70" s="428" t="str">
        <f t="shared" ref="AA70" ca="1" si="293">IFERROR(AVERAGE(Z70,Z71),"")</f>
        <v/>
      </c>
      <c r="AB70" s="471" t="str">
        <f t="shared" ref="AB70:AB71" si="294">IFERROR(IF(COUNT($N70)=1,($N70/K70)-1,""),"")</f>
        <v/>
      </c>
      <c r="AC70" s="430" t="str">
        <f>IF($AB70&lt;&gt;"",INDEX(Barème!$AI$3:$AI$28,MATCH($AB70,Barème!$AH$3:$AH$28,-1)),"")</f>
        <v/>
      </c>
      <c r="AD70" s="428" t="str">
        <f t="shared" ref="AD70" si="295">IF(COUNT(AC70:AC71)&gt;1,AVERAGE(AC70,AC71),"")</f>
        <v/>
      </c>
      <c r="AE70" s="431" t="str">
        <f t="shared" si="283"/>
        <v/>
      </c>
      <c r="AF70" s="428" t="str">
        <f t="shared" ref="AF70" si="296">IFERROR(AVERAGE(AE70:AE71),"")</f>
        <v/>
      </c>
      <c r="AG70" s="432" t="str">
        <f t="shared" ref="AG70:AG71" si="297">IF(COUNTA(R70)=1,COUNTIF(R70,"OUI"),"")</f>
        <v/>
      </c>
      <c r="AH70" s="433" t="str">
        <f t="shared" ref="AH70:AH71" si="298">IF(COUNTA(U70)=1,COUNTIF(U70,"OUI"),"")</f>
        <v/>
      </c>
      <c r="AI70" s="434" t="str">
        <f t="shared" ref="AI70:AI71" si="299">IF(COUNTA(S70:T70)=2,COUNTIF(S70:T70,"OUI"),"")</f>
        <v/>
      </c>
      <c r="AJ70" s="428" t="str">
        <f t="shared" ref="AJ70" si="300">IF(COUNT(AG70:AH70,AI71)=3,MROUND(SUM(AG70,AH70,AI71),0.25),"")</f>
        <v/>
      </c>
      <c r="AK70" s="428" t="str">
        <f t="shared" ref="AK70:AK71" si="301">IFERROR((AF70/4)*3+(AJ70/4)*3,"")</f>
        <v/>
      </c>
    </row>
    <row r="71" spans="1:38" ht="24" customHeight="1" thickBot="1">
      <c r="A71" s="321" t="s">
        <v>128</v>
      </c>
      <c r="B71" s="468" t="str">
        <f t="shared" ref="B71" ca="1" si="302">E70</f>
        <v/>
      </c>
      <c r="C71" s="436" t="str">
        <f ca="1">IF(B71&lt;&gt;"",INDEX(Perf.Sprint!$C$4:$C$41,MATCH(B71,Perf.Sprint!$B$4:$B$41,0)),"")</f>
        <v/>
      </c>
      <c r="D71" s="436" t="s">
        <v>149</v>
      </c>
      <c r="E71" s="436" t="str">
        <f t="shared" ref="E71" ca="1" si="303">B70</f>
        <v/>
      </c>
      <c r="F71" s="436" t="str">
        <f ca="1">IF(E71&lt;&gt;"",INDEX(Perf.Sprint!$C$4:$C$41,MATCH(E71,Perf.Sprint!$B$4:$B$41,0)),"")</f>
        <v/>
      </c>
      <c r="G71" s="436"/>
      <c r="H71" s="437"/>
      <c r="I71" s="438" t="str">
        <f ca="1">IF(B71&lt;&gt;0,INDEX(Perf.Sprint!$BJ$4:$BJ$40,MATCH(B71,Perf.Sprint!$B$4:$B$40,0)),"")</f>
        <v/>
      </c>
      <c r="J71" s="438" t="str">
        <f ca="1">IF(E71&lt;&gt;0,INDEX(Perf.Sprint!$BG$4:$BG$40,MATCH(E71,Perf.Sprint!$B$4:$B$40,0)),"")</f>
        <v/>
      </c>
      <c r="K71" s="438" t="str">
        <f t="shared" ca="1" si="284"/>
        <v/>
      </c>
      <c r="L71" s="436" t="str">
        <f t="shared" ca="1" si="285"/>
        <v/>
      </c>
      <c r="M71" s="439" t="str">
        <f t="shared" ca="1" si="286"/>
        <v/>
      </c>
      <c r="N71" s="440"/>
      <c r="O71" s="441" t="str">
        <f t="shared" si="287"/>
        <v/>
      </c>
      <c r="P71" s="442" t="str">
        <f t="shared" si="288"/>
        <v/>
      </c>
      <c r="Q71" s="469"/>
      <c r="R71" s="444"/>
      <c r="S71" s="445"/>
      <c r="T71" s="445"/>
      <c r="U71" s="446"/>
      <c r="V71" s="447" t="str">
        <f t="shared" ref="V71" si="304">IF(COUNT(N70:N71)=2,SUM(N70:N71),"")</f>
        <v/>
      </c>
      <c r="W71" s="448" t="str">
        <f t="shared" ca="1" si="290"/>
        <v/>
      </c>
      <c r="X71" s="448" t="str">
        <f t="shared" ca="1" si="291"/>
        <v/>
      </c>
      <c r="Y71" s="448" t="str">
        <f t="shared" ca="1" si="292"/>
        <v/>
      </c>
      <c r="Z71" s="449" t="str">
        <f ca="1">IF(Y71="","",IF(OR(AND(C71="M",F71="F"),AND(C71="F",F71="M")),VLOOKUP(Y71,relais,3),IF(C71="F",VLOOKUP(Y71,relaisf,7),VLOOKUP(Y71,relaisg,5))))</f>
        <v/>
      </c>
      <c r="AA71" s="450" t="str">
        <f t="shared" ref="AA71" ca="1" si="305">IFERROR(AVERAGE(Z70,Z71),"")</f>
        <v/>
      </c>
      <c r="AB71" s="472" t="str">
        <f t="shared" si="294"/>
        <v/>
      </c>
      <c r="AC71" s="452" t="str">
        <f>IF($AB71&lt;&gt;"",INDEX(Barème!$AI$3:$AI$28,MATCH($AB71,Barème!$AH$3:$AH$28,-1)),"")</f>
        <v/>
      </c>
      <c r="AD71" s="450" t="str">
        <f t="shared" ref="AD71" si="306">IF(COUNT(AC70:AC71)&gt;1,AVERAGE(AC70,AC71),"")</f>
        <v/>
      </c>
      <c r="AE71" s="453" t="str">
        <f t="shared" si="283"/>
        <v/>
      </c>
      <c r="AF71" s="450" t="str">
        <f t="shared" ref="AF71" si="307">IFERROR(AVERAGE(AE71,AE70),"")</f>
        <v/>
      </c>
      <c r="AG71" s="432" t="str">
        <f t="shared" si="297"/>
        <v/>
      </c>
      <c r="AH71" s="433" t="str">
        <f t="shared" si="298"/>
        <v/>
      </c>
      <c r="AI71" s="434" t="str">
        <f t="shared" si="299"/>
        <v/>
      </c>
      <c r="AJ71" s="450" t="str">
        <f t="shared" ref="AJ71" si="308">IF(COUNT(AG71:AH71,AI70)=3,MROUND(SUM(AG71,AH71,AI70),0.25),"")</f>
        <v/>
      </c>
      <c r="AK71" s="450" t="str">
        <f t="shared" si="301"/>
        <v/>
      </c>
    </row>
    <row r="72" spans="1:38" ht="15.75" thickBot="1">
      <c r="A72" s="330">
        <v>24</v>
      </c>
      <c r="B72" s="394" t="s">
        <v>176</v>
      </c>
      <c r="C72" s="395" t="s">
        <v>134</v>
      </c>
      <c r="D72" s="396"/>
      <c r="E72" s="396" t="s">
        <v>177</v>
      </c>
      <c r="F72" s="396" t="s">
        <v>134</v>
      </c>
      <c r="G72" s="396"/>
      <c r="H72" s="399" t="s">
        <v>187</v>
      </c>
      <c r="I72" s="398">
        <v>54</v>
      </c>
      <c r="J72" s="398">
        <v>25</v>
      </c>
      <c r="K72" s="399" t="s">
        <v>178</v>
      </c>
      <c r="L72" s="400" t="s">
        <v>139</v>
      </c>
      <c r="M72" s="397" t="s">
        <v>140</v>
      </c>
      <c r="N72" s="401" t="s">
        <v>126</v>
      </c>
      <c r="O72" s="400" t="s">
        <v>139</v>
      </c>
      <c r="P72" s="402" t="s">
        <v>140</v>
      </c>
      <c r="Q72" s="403" t="s">
        <v>170</v>
      </c>
      <c r="R72" s="454" t="s">
        <v>180</v>
      </c>
      <c r="S72" s="455" t="s">
        <v>181</v>
      </c>
      <c r="T72" s="455" t="s">
        <v>182</v>
      </c>
      <c r="U72" s="456" t="s">
        <v>183</v>
      </c>
      <c r="V72" s="457"/>
      <c r="W72" s="458"/>
      <c r="X72" s="458"/>
      <c r="Y72" s="458"/>
      <c r="Z72" s="459"/>
      <c r="AA72" s="460"/>
      <c r="AB72" s="470" t="s">
        <v>188</v>
      </c>
      <c r="AC72" s="411"/>
      <c r="AD72" s="462"/>
      <c r="AE72" s="463" t="str">
        <f t="shared" ref="AE72:AE74" si="309">IFERROR(INDEX(Pts_Zone,MATCH(Q72,Zone,0)),"")</f>
        <v/>
      </c>
      <c r="AF72" s="460"/>
      <c r="AG72" s="464" t="s">
        <v>180</v>
      </c>
      <c r="AH72" s="464" t="s">
        <v>152</v>
      </c>
      <c r="AI72" s="465" t="s">
        <v>163</v>
      </c>
      <c r="AJ72" s="457"/>
      <c r="AK72" s="462"/>
      <c r="AL72" s="478">
        <f t="shared" ref="AL72" si="310">IFERROR(AVERAGE(AK4:AK68),"")</f>
        <v>4.75</v>
      </c>
    </row>
    <row r="73" spans="1:38" ht="24" customHeight="1">
      <c r="A73" s="321" t="s">
        <v>127</v>
      </c>
      <c r="B73" s="466" t="str">
        <f ca="1">IFERROR('Compo.Relais(1)'!$AF27,"")</f>
        <v/>
      </c>
      <c r="C73" s="413" t="str">
        <f ca="1">IF(B73&lt;&gt;"",INDEX(Perf.Sprint!$C$4:$C$41,MATCH(B73,Perf.Sprint!$B$4:$B$41,0)),"")</f>
        <v/>
      </c>
      <c r="D73" s="413" t="s">
        <v>149</v>
      </c>
      <c r="E73" s="413" t="str">
        <f ca="1">IFERROR('Compo.Relais(1)'!$AH27,"")</f>
        <v/>
      </c>
      <c r="F73" s="413" t="str">
        <f ca="1">IF(E73&lt;&gt;"",INDEX(Perf.Sprint!$C$4:$C$41,MATCH(E73,Perf.Sprint!$B$4:$B$41,0)),"")</f>
        <v/>
      </c>
      <c r="G73" s="413"/>
      <c r="H73" s="414"/>
      <c r="I73" s="415" t="str">
        <f ca="1">IF(B73&lt;&gt;0,INDEX(Perf.Sprint!$BJ$4:$BJ$40,MATCH(B73,Perf.Sprint!$B$4:$B$40,0)),"")</f>
        <v/>
      </c>
      <c r="J73" s="415" t="str">
        <f ca="1">IF(E73&lt;&gt;0,INDEX(Perf.Sprint!$BG$4:$BG$40,MATCH(E73,Perf.Sprint!$B$4:$B$40,0)),"")</f>
        <v/>
      </c>
      <c r="K73" s="416" t="str">
        <f t="shared" ref="K73:K74" ca="1" si="311">IFERROR(SUM(I73+J73),"")</f>
        <v/>
      </c>
      <c r="L73" s="413" t="str">
        <f t="shared" ref="L73:L74" ca="1" si="312">IF(K73="","",ROUND($J$2/K73,1))</f>
        <v/>
      </c>
      <c r="M73" s="417" t="str">
        <f t="shared" ref="M73:M74" ca="1" si="313">IF(K73="","",(L73*3600)/1000)</f>
        <v/>
      </c>
      <c r="N73" s="418"/>
      <c r="O73" s="419" t="str">
        <f t="shared" ref="O73:O74" si="314">IFERROR(IF(N73="","",ROUND($J$2/N73,1)),"")</f>
        <v/>
      </c>
      <c r="P73" s="420" t="str">
        <f t="shared" ref="P73:P74" si="315">IF(O73&lt;&gt;"",(O73*3600)/1000,"")</f>
        <v/>
      </c>
      <c r="Q73" s="467"/>
      <c r="R73" s="422"/>
      <c r="S73" s="423"/>
      <c r="T73" s="423"/>
      <c r="U73" s="424"/>
      <c r="V73" s="425" t="str">
        <f t="shared" ref="V73" si="316">IF(COUNT(N73:N74)=2,SUM(N73:N74),"")</f>
        <v/>
      </c>
      <c r="W73" s="426" t="str">
        <f t="shared" ref="W73:W74" ca="1" si="317">IF($V73="","",IF(OR(AND(C73="M",F73="F"),AND(C73="F",F73="M")),VLOOKUP($V73,INDIRECT("rel"),1),VLOOKUP($V73,INDIRECT(C73&amp;"rel"),1)))</f>
        <v/>
      </c>
      <c r="X73" s="426" t="str">
        <f t="shared" ref="X73:X74" ca="1" si="318">IFERROR(IF(OR(AND(C73="M",F73="F"),AND(C73="F",F73="M")),INDEX(INDIRECT("rel"),MATCH($V73,INDIRECT("rel"))+1),INDEX(INDIRECT(C73&amp;"rel"),MATCH($V73,INDIRECT(C73&amp;"rel"))+1)),"")</f>
        <v/>
      </c>
      <c r="Y73" s="426" t="str">
        <f t="shared" ref="Y73:Y74" ca="1" si="319">IF(X73="",W73,IF(V73=W73,W73,X73))</f>
        <v/>
      </c>
      <c r="Z73" s="427" t="str">
        <f ca="1">IF(Y73="","",IF(OR(AND(C73="M",F73="F"),AND(C73="F",F73="M")),VLOOKUP(Y73,relais,3),IF(C73="F",VLOOKUP(Y73,relaisf,7),VLOOKUP(Y73,relaisg,5))))</f>
        <v/>
      </c>
      <c r="AA73" s="428" t="str">
        <f t="shared" ref="AA73" ca="1" si="320">IFERROR(AVERAGE(Z73,Z74),"")</f>
        <v/>
      </c>
      <c r="AB73" s="471" t="str">
        <f t="shared" ref="AB73:AB74" si="321">IFERROR(IF(COUNT($N73)=1,($N73/K73)-1,""),"")</f>
        <v/>
      </c>
      <c r="AC73" s="430" t="str">
        <f>IF($AB73&lt;&gt;"",INDEX(Barème!$AI$3:$AI$28,MATCH($AB73,Barème!$AH$3:$AH$28,-1)),"")</f>
        <v/>
      </c>
      <c r="AD73" s="428" t="str">
        <f t="shared" ref="AD73" si="322">IF(COUNT(AC73:AC74)&gt;1,AVERAGE(AC73,AC74),"")</f>
        <v/>
      </c>
      <c r="AE73" s="431" t="str">
        <f t="shared" si="309"/>
        <v/>
      </c>
      <c r="AF73" s="428" t="str">
        <f t="shared" ref="AF73" si="323">IFERROR(AVERAGE(AE73:AE74),"")</f>
        <v/>
      </c>
      <c r="AG73" s="432" t="str">
        <f t="shared" ref="AG73:AG74" si="324">IF(COUNTA(R73)=1,COUNTIF(R73,"OUI"),"")</f>
        <v/>
      </c>
      <c r="AH73" s="433" t="str">
        <f t="shared" ref="AH73:AH74" si="325">IF(COUNTA(U73)=1,COUNTIF(U73,"OUI"),"")</f>
        <v/>
      </c>
      <c r="AI73" s="434" t="str">
        <f t="shared" ref="AI73:AI74" si="326">IF(COUNTA(S73:T73)=2,COUNTIF(S73:T73,"OUI"),"")</f>
        <v/>
      </c>
      <c r="AJ73" s="428" t="str">
        <f t="shared" ref="AJ73" si="327">IF(COUNT(AG73:AH73,AI74)=3,MROUND(SUM(AG73,AH73,AI74),0.25),"")</f>
        <v/>
      </c>
      <c r="AK73" s="428" t="str">
        <f t="shared" ref="AK73:AK74" si="328">IFERROR((AF73/4)*3+(AJ73/4)*3,"")</f>
        <v/>
      </c>
    </row>
    <row r="74" spans="1:38" ht="24" customHeight="1" thickBot="1">
      <c r="A74" s="321" t="s">
        <v>128</v>
      </c>
      <c r="B74" s="468" t="str">
        <f t="shared" ref="B74" ca="1" si="329">E73</f>
        <v/>
      </c>
      <c r="C74" s="436" t="str">
        <f ca="1">IF(B74&lt;&gt;"",INDEX(Perf.Sprint!$C$4:$C$41,MATCH(B74,Perf.Sprint!$B$4:$B$41,0)),"")</f>
        <v/>
      </c>
      <c r="D74" s="436" t="s">
        <v>149</v>
      </c>
      <c r="E74" s="436" t="str">
        <f t="shared" ref="E74" ca="1" si="330">B73</f>
        <v/>
      </c>
      <c r="F74" s="436" t="str">
        <f ca="1">IF(E74&lt;&gt;"",INDEX(Perf.Sprint!$C$4:$C$41,MATCH(E74,Perf.Sprint!$B$4:$B$41,0)),"")</f>
        <v/>
      </c>
      <c r="G74" s="436"/>
      <c r="H74" s="437"/>
      <c r="I74" s="438" t="str">
        <f ca="1">IF(B74&lt;&gt;0,INDEX(Perf.Sprint!$BJ$4:$BJ$40,MATCH(B74,Perf.Sprint!$B$4:$B$40,0)),"")</f>
        <v/>
      </c>
      <c r="J74" s="438" t="str">
        <f ca="1">IF(E74&lt;&gt;0,INDEX(Perf.Sprint!$BG$4:$BG$40,MATCH(E74,Perf.Sprint!$B$4:$B$40,0)),"")</f>
        <v/>
      </c>
      <c r="K74" s="438" t="str">
        <f t="shared" ca="1" si="311"/>
        <v/>
      </c>
      <c r="L74" s="436" t="str">
        <f t="shared" ca="1" si="312"/>
        <v/>
      </c>
      <c r="M74" s="439" t="str">
        <f t="shared" ca="1" si="313"/>
        <v/>
      </c>
      <c r="N74" s="440"/>
      <c r="O74" s="441" t="str">
        <f t="shared" si="314"/>
        <v/>
      </c>
      <c r="P74" s="442" t="str">
        <f t="shared" si="315"/>
        <v/>
      </c>
      <c r="Q74" s="469"/>
      <c r="R74" s="444"/>
      <c r="S74" s="445"/>
      <c r="T74" s="445"/>
      <c r="U74" s="446"/>
      <c r="V74" s="447" t="str">
        <f t="shared" ref="V74" si="331">IF(COUNT(N73:N74)=2,SUM(N73:N74),"")</f>
        <v/>
      </c>
      <c r="W74" s="448" t="str">
        <f t="shared" ca="1" si="317"/>
        <v/>
      </c>
      <c r="X74" s="448" t="str">
        <f t="shared" ca="1" si="318"/>
        <v/>
      </c>
      <c r="Y74" s="448" t="str">
        <f t="shared" ca="1" si="319"/>
        <v/>
      </c>
      <c r="Z74" s="449" t="str">
        <f ca="1">IF(Y74="","",IF(OR(AND(C74="M",F74="F"),AND(C74="F",F74="M")),VLOOKUP(Y74,relais,3),IF(C74="F",VLOOKUP(Y74,relaisf,7),VLOOKUP(Y74,relaisg,5))))</f>
        <v/>
      </c>
      <c r="AA74" s="450" t="str">
        <f t="shared" ref="AA74" ca="1" si="332">IFERROR(AVERAGE(Z73,Z74),"")</f>
        <v/>
      </c>
      <c r="AB74" s="472" t="str">
        <f t="shared" si="321"/>
        <v/>
      </c>
      <c r="AC74" s="452" t="str">
        <f>IF($AB74&lt;&gt;"",INDEX(Barème!$AI$3:$AI$28,MATCH($AB74,Barème!$AH$3:$AH$28,-1)),"")</f>
        <v/>
      </c>
      <c r="AD74" s="450" t="str">
        <f t="shared" ref="AD74" si="333">IF(COUNT(AC73:AC74)&gt;1,AVERAGE(AC73,AC74),"")</f>
        <v/>
      </c>
      <c r="AE74" s="453" t="str">
        <f t="shared" si="309"/>
        <v/>
      </c>
      <c r="AF74" s="450" t="str">
        <f t="shared" ref="AF74" si="334">IFERROR(AVERAGE(AE74,AE73),"")</f>
        <v/>
      </c>
      <c r="AG74" s="432" t="str">
        <f t="shared" si="324"/>
        <v/>
      </c>
      <c r="AH74" s="433" t="str">
        <f t="shared" si="325"/>
        <v/>
      </c>
      <c r="AI74" s="434" t="str">
        <f t="shared" si="326"/>
        <v/>
      </c>
      <c r="AJ74" s="450" t="str">
        <f t="shared" ref="AJ74" si="335">IF(COUNT(AG74:AH74,AI73)=3,MROUND(SUM(AG74,AH74,AI73),0.25),"")</f>
        <v/>
      </c>
      <c r="AK74" s="450" t="str">
        <f t="shared" si="328"/>
        <v/>
      </c>
    </row>
    <row r="75" spans="1:38" ht="15.75" thickBot="1">
      <c r="A75" s="330">
        <v>25</v>
      </c>
      <c r="B75" s="394" t="s">
        <v>176</v>
      </c>
      <c r="C75" s="395" t="s">
        <v>134</v>
      </c>
      <c r="D75" s="396"/>
      <c r="E75" s="396" t="s">
        <v>177</v>
      </c>
      <c r="F75" s="396" t="s">
        <v>134</v>
      </c>
      <c r="G75" s="396"/>
      <c r="H75" s="399" t="s">
        <v>187</v>
      </c>
      <c r="I75" s="398">
        <v>54</v>
      </c>
      <c r="J75" s="398">
        <v>25</v>
      </c>
      <c r="K75" s="399" t="s">
        <v>178</v>
      </c>
      <c r="L75" s="400" t="s">
        <v>139</v>
      </c>
      <c r="M75" s="397" t="s">
        <v>140</v>
      </c>
      <c r="N75" s="401" t="s">
        <v>126</v>
      </c>
      <c r="O75" s="400" t="s">
        <v>139</v>
      </c>
      <c r="P75" s="402" t="s">
        <v>140</v>
      </c>
      <c r="Q75" s="403" t="s">
        <v>170</v>
      </c>
      <c r="R75" s="454" t="s">
        <v>180</v>
      </c>
      <c r="S75" s="455" t="s">
        <v>181</v>
      </c>
      <c r="T75" s="455" t="s">
        <v>182</v>
      </c>
      <c r="U75" s="456" t="s">
        <v>183</v>
      </c>
      <c r="V75" s="457"/>
      <c r="W75" s="458"/>
      <c r="X75" s="458"/>
      <c r="Y75" s="458"/>
      <c r="Z75" s="459"/>
      <c r="AA75" s="460"/>
      <c r="AB75" s="470" t="s">
        <v>188</v>
      </c>
      <c r="AC75" s="411"/>
      <c r="AD75" s="462"/>
      <c r="AE75" s="463" t="str">
        <f t="shared" ref="AE75:AE80" si="336">IFERROR(INDEX(Pts_Zone,MATCH(Q75,Zone,0)),"")</f>
        <v/>
      </c>
      <c r="AF75" s="460"/>
      <c r="AG75" s="464" t="s">
        <v>180</v>
      </c>
      <c r="AH75" s="464" t="s">
        <v>152</v>
      </c>
      <c r="AI75" s="465" t="s">
        <v>163</v>
      </c>
      <c r="AJ75" s="457"/>
      <c r="AK75" s="462"/>
    </row>
    <row r="76" spans="1:38" ht="24" customHeight="1">
      <c r="A76" s="321" t="s">
        <v>127</v>
      </c>
      <c r="B76" s="466" t="str">
        <f ca="1">IFERROR('Compo.Relais(1)'!$AF28,"")</f>
        <v/>
      </c>
      <c r="C76" s="413" t="str">
        <f ca="1">IF(B76&lt;&gt;"",INDEX(Perf.Sprint!$C$4:$C$41,MATCH(B76,Perf.Sprint!$B$4:$B$41,0)),"")</f>
        <v/>
      </c>
      <c r="D76" s="413" t="s">
        <v>149</v>
      </c>
      <c r="E76" s="413" t="str">
        <f ca="1">IFERROR('Compo.Relais(1)'!$AH28,"")</f>
        <v/>
      </c>
      <c r="F76" s="413" t="str">
        <f ca="1">IF(E76&lt;&gt;"",INDEX(Perf.Sprint!$C$4:$C$41,MATCH(E76,Perf.Sprint!$B$4:$B$41,0)),"")</f>
        <v/>
      </c>
      <c r="G76" s="413"/>
      <c r="H76" s="414"/>
      <c r="I76" s="415" t="str">
        <f ca="1">IF(B76&lt;&gt;0,INDEX(Perf.Sprint!$BJ$4:$BJ$40,MATCH(B76,Perf.Sprint!$B$4:$B$40,0)),"")</f>
        <v/>
      </c>
      <c r="J76" s="415" t="str">
        <f ca="1">IF(E76&lt;&gt;0,INDEX(Perf.Sprint!$BG$4:$BG$40,MATCH(E76,Perf.Sprint!$B$4:$B$40,0)),"")</f>
        <v/>
      </c>
      <c r="K76" s="416" t="str">
        <f t="shared" ref="K76:K77" ca="1" si="337">IFERROR(SUM(I76+J76),"")</f>
        <v/>
      </c>
      <c r="L76" s="413" t="str">
        <f t="shared" ref="L76:L77" ca="1" si="338">IF(K76="","",ROUND($J$2/K76,1))</f>
        <v/>
      </c>
      <c r="M76" s="417" t="str">
        <f t="shared" ref="M76:M77" ca="1" si="339">IF(K76="","",(L76*3600)/1000)</f>
        <v/>
      </c>
      <c r="N76" s="418"/>
      <c r="O76" s="419" t="str">
        <f t="shared" ref="O76:O77" si="340">IFERROR(IF(N76="","",ROUND($J$2/N76,1)),"")</f>
        <v/>
      </c>
      <c r="P76" s="420" t="str">
        <f t="shared" ref="P76:P77" si="341">IF(O76&lt;&gt;"",(O76*3600)/1000,"")</f>
        <v/>
      </c>
      <c r="Q76" s="467"/>
      <c r="R76" s="422"/>
      <c r="S76" s="423"/>
      <c r="T76" s="423"/>
      <c r="U76" s="424"/>
      <c r="V76" s="425" t="str">
        <f t="shared" ref="V76" si="342">IF(COUNT(N76:N77)=2,SUM(N76:N77),"")</f>
        <v/>
      </c>
      <c r="W76" s="426" t="str">
        <f t="shared" ref="W76:W77" ca="1" si="343">IF($V76="","",IF(OR(AND(C76="M",F76="F"),AND(C76="F",F76="M")),VLOOKUP($V76,INDIRECT("rel"),1),VLOOKUP($V76,INDIRECT(C76&amp;"rel"),1)))</f>
        <v/>
      </c>
      <c r="X76" s="426" t="str">
        <f t="shared" ref="X76:X77" ca="1" si="344">IFERROR(IF(OR(AND(C76="M",F76="F"),AND(C76="F",F76="M")),INDEX(INDIRECT("rel"),MATCH($V76,INDIRECT("rel"))+1),INDEX(INDIRECT(C76&amp;"rel"),MATCH($V76,INDIRECT(C76&amp;"rel"))+1)),"")</f>
        <v/>
      </c>
      <c r="Y76" s="426" t="str">
        <f t="shared" ref="Y76:Y77" ca="1" si="345">IF(X76="",W76,IF(V76=W76,W76,X76))</f>
        <v/>
      </c>
      <c r="Z76" s="427" t="str">
        <f ca="1">IF(Y76="","",IF(OR(AND(C76="M",F76="F"),AND(C76="F",F76="M")),VLOOKUP(Y76,relais,3),IF(C76="F",VLOOKUP(Y76,relaisf,7),VLOOKUP(Y76,relaisg,5))))</f>
        <v/>
      </c>
      <c r="AA76" s="428" t="str">
        <f t="shared" ref="AA76" ca="1" si="346">IFERROR(AVERAGE(Z76,Z77),"")</f>
        <v/>
      </c>
      <c r="AB76" s="471" t="str">
        <f t="shared" ref="AB76:AB77" si="347">IFERROR(IF(COUNT($N76)=1,($N76/K76)-1,""),"")</f>
        <v/>
      </c>
      <c r="AC76" s="430" t="str">
        <f>IF($AB76&lt;&gt;"",INDEX(Barème!$AI$3:$AI$28,MATCH($AB76,Barème!$AH$3:$AH$28,-1)),"")</f>
        <v/>
      </c>
      <c r="AD76" s="428" t="str">
        <f t="shared" ref="AD76" si="348">IF(COUNT(AC76:AC77)&gt;1,AVERAGE(AC76,AC77),"")</f>
        <v/>
      </c>
      <c r="AE76" s="431" t="str">
        <f t="shared" si="336"/>
        <v/>
      </c>
      <c r="AF76" s="428" t="str">
        <f t="shared" ref="AF76" si="349">IFERROR(AVERAGE(AE76:AE77),"")</f>
        <v/>
      </c>
      <c r="AG76" s="432" t="str">
        <f t="shared" ref="AG76:AG77" si="350">IF(COUNTA(R76)=1,COUNTIF(R76,"OUI"),"")</f>
        <v/>
      </c>
      <c r="AH76" s="433" t="str">
        <f t="shared" ref="AH76:AH77" si="351">IF(COUNTA(U76)=1,COUNTIF(U76,"OUI"),"")</f>
        <v/>
      </c>
      <c r="AI76" s="434" t="str">
        <f t="shared" ref="AI76:AI77" si="352">IF(COUNTA(S76:T76)=2,COUNTIF(S76:T76,"OUI"),"")</f>
        <v/>
      </c>
      <c r="AJ76" s="428" t="str">
        <f t="shared" ref="AJ76" si="353">IF(COUNT(AG76:AH76,AI77)=3,MROUND(SUM(AG76,AH76,AI77),0.25),"")</f>
        <v/>
      </c>
      <c r="AK76" s="428" t="str">
        <f t="shared" ref="AK76:AK77" si="354">IFERROR((AF76/4)*3+(AJ76/4)*3,"")</f>
        <v/>
      </c>
    </row>
    <row r="77" spans="1:38" ht="24" customHeight="1" thickBot="1">
      <c r="A77" s="321" t="s">
        <v>128</v>
      </c>
      <c r="B77" s="468" t="str">
        <f t="shared" ref="B77" ca="1" si="355">E76</f>
        <v/>
      </c>
      <c r="C77" s="436" t="str">
        <f ca="1">IF(B77&lt;&gt;"",INDEX(Perf.Sprint!$C$4:$C$41,MATCH(B77,Perf.Sprint!$B$4:$B$41,0)),"")</f>
        <v/>
      </c>
      <c r="D77" s="436" t="s">
        <v>149</v>
      </c>
      <c r="E77" s="436" t="str">
        <f t="shared" ref="E77" ca="1" si="356">B76</f>
        <v/>
      </c>
      <c r="F77" s="436" t="str">
        <f ca="1">IF(E77&lt;&gt;"",INDEX(Perf.Sprint!$C$4:$C$41,MATCH(E77,Perf.Sprint!$B$4:$B$41,0)),"")</f>
        <v/>
      </c>
      <c r="G77" s="436"/>
      <c r="H77" s="437"/>
      <c r="I77" s="438" t="str">
        <f ca="1">IF(B77&lt;&gt;0,INDEX(Perf.Sprint!$BJ$4:$BJ$40,MATCH(B77,Perf.Sprint!$B$4:$B$40,0)),"")</f>
        <v/>
      </c>
      <c r="J77" s="438" t="str">
        <f ca="1">IF(E77&lt;&gt;0,INDEX(Perf.Sprint!$BG$4:$BG$40,MATCH(E77,Perf.Sprint!$B$4:$B$40,0)),"")</f>
        <v/>
      </c>
      <c r="K77" s="438" t="str">
        <f t="shared" ca="1" si="337"/>
        <v/>
      </c>
      <c r="L77" s="436" t="str">
        <f t="shared" ca="1" si="338"/>
        <v/>
      </c>
      <c r="M77" s="439" t="str">
        <f t="shared" ca="1" si="339"/>
        <v/>
      </c>
      <c r="N77" s="440"/>
      <c r="O77" s="441" t="str">
        <f t="shared" si="340"/>
        <v/>
      </c>
      <c r="P77" s="442" t="str">
        <f t="shared" si="341"/>
        <v/>
      </c>
      <c r="Q77" s="469"/>
      <c r="R77" s="444"/>
      <c r="S77" s="445"/>
      <c r="T77" s="445"/>
      <c r="U77" s="446"/>
      <c r="V77" s="447" t="str">
        <f t="shared" ref="V77" si="357">IF(COUNT(N76:N77)=2,SUM(N76:N77),"")</f>
        <v/>
      </c>
      <c r="W77" s="448" t="str">
        <f t="shared" ca="1" si="343"/>
        <v/>
      </c>
      <c r="X77" s="448" t="str">
        <f t="shared" ca="1" si="344"/>
        <v/>
      </c>
      <c r="Y77" s="448" t="str">
        <f t="shared" ca="1" si="345"/>
        <v/>
      </c>
      <c r="Z77" s="449" t="str">
        <f ca="1">IF(Y77="","",IF(OR(AND(C77="M",F77="F"),AND(C77="F",F77="M")),VLOOKUP(Y77,relais,3),IF(C77="F",VLOOKUP(Y77,relaisf,7),VLOOKUP(Y77,relaisg,5))))</f>
        <v/>
      </c>
      <c r="AA77" s="450" t="str">
        <f t="shared" ref="AA77" ca="1" si="358">IFERROR(AVERAGE(Z76,Z77),"")</f>
        <v/>
      </c>
      <c r="AB77" s="472" t="str">
        <f t="shared" si="347"/>
        <v/>
      </c>
      <c r="AC77" s="452" t="str">
        <f>IF($AB77&lt;&gt;"",INDEX(Barème!$AI$3:$AI$28,MATCH($AB77,Barème!$AH$3:$AH$28,-1)),"")</f>
        <v/>
      </c>
      <c r="AD77" s="450" t="str">
        <f t="shared" ref="AD77" si="359">IF(COUNT(AC76:AC77)&gt;1,AVERAGE(AC76,AC77),"")</f>
        <v/>
      </c>
      <c r="AE77" s="453" t="str">
        <f t="shared" si="336"/>
        <v/>
      </c>
      <c r="AF77" s="450" t="str">
        <f t="shared" ref="AF77" si="360">IFERROR(AVERAGE(AE77,AE76),"")</f>
        <v/>
      </c>
      <c r="AG77" s="432" t="str">
        <f t="shared" si="350"/>
        <v/>
      </c>
      <c r="AH77" s="433" t="str">
        <f t="shared" si="351"/>
        <v/>
      </c>
      <c r="AI77" s="434" t="str">
        <f t="shared" si="352"/>
        <v/>
      </c>
      <c r="AJ77" s="450" t="str">
        <f t="shared" ref="AJ77" si="361">IF(COUNT(AG77:AH77,AI76)=3,MROUND(SUM(AG77,AH77,AI76),0.25),"")</f>
        <v/>
      </c>
      <c r="AK77" s="450" t="str">
        <f t="shared" si="354"/>
        <v/>
      </c>
    </row>
    <row r="78" spans="1:38" ht="17.25" customHeight="1" thickBot="1">
      <c r="A78" s="330">
        <v>26</v>
      </c>
      <c r="B78" s="394" t="s">
        <v>176</v>
      </c>
      <c r="C78" s="395" t="s">
        <v>134</v>
      </c>
      <c r="D78" s="396"/>
      <c r="E78" s="396" t="s">
        <v>177</v>
      </c>
      <c r="F78" s="396" t="s">
        <v>134</v>
      </c>
      <c r="G78" s="396"/>
      <c r="H78" s="399" t="s">
        <v>187</v>
      </c>
      <c r="I78" s="398">
        <v>54</v>
      </c>
      <c r="J78" s="398">
        <v>25</v>
      </c>
      <c r="K78" s="399" t="s">
        <v>178</v>
      </c>
      <c r="L78" s="400" t="s">
        <v>139</v>
      </c>
      <c r="M78" s="397" t="s">
        <v>140</v>
      </c>
      <c r="N78" s="401" t="s">
        <v>126</v>
      </c>
      <c r="O78" s="400" t="s">
        <v>139</v>
      </c>
      <c r="P78" s="402" t="s">
        <v>140</v>
      </c>
      <c r="Q78" s="403" t="s">
        <v>170</v>
      </c>
      <c r="R78" s="454" t="s">
        <v>180</v>
      </c>
      <c r="S78" s="455" t="s">
        <v>181</v>
      </c>
      <c r="T78" s="455" t="s">
        <v>182</v>
      </c>
      <c r="U78" s="456" t="s">
        <v>183</v>
      </c>
      <c r="V78" s="457"/>
      <c r="W78" s="458"/>
      <c r="X78" s="458"/>
      <c r="Y78" s="458"/>
      <c r="Z78" s="459"/>
      <c r="AA78" s="460"/>
      <c r="AB78" s="470" t="s">
        <v>188</v>
      </c>
      <c r="AC78" s="411"/>
      <c r="AD78" s="462"/>
      <c r="AE78" s="463" t="str">
        <f t="shared" si="336"/>
        <v/>
      </c>
      <c r="AF78" s="460"/>
      <c r="AG78" s="464" t="s">
        <v>180</v>
      </c>
      <c r="AH78" s="464" t="s">
        <v>152</v>
      </c>
      <c r="AI78" s="465" t="s">
        <v>163</v>
      </c>
      <c r="AJ78" s="457"/>
      <c r="AK78" s="462"/>
    </row>
    <row r="79" spans="1:38" ht="24" customHeight="1">
      <c r="A79" s="321" t="s">
        <v>127</v>
      </c>
      <c r="B79" s="466" t="str">
        <f ca="1">IFERROR('Compo.Relais(1)'!$AF29,"")</f>
        <v/>
      </c>
      <c r="C79" s="413" t="str">
        <f ca="1">IF(B79&lt;&gt;"",INDEX(Perf.Sprint!$C$4:$C$41,MATCH(B79,Perf.Sprint!$B$4:$B$41,0)),"")</f>
        <v/>
      </c>
      <c r="D79" s="413" t="s">
        <v>149</v>
      </c>
      <c r="E79" s="413" t="str">
        <f ca="1">IFERROR('Compo.Relais(1)'!$AH29,"")</f>
        <v/>
      </c>
      <c r="F79" s="413" t="str">
        <f ca="1">IF(E79&lt;&gt;"",INDEX(Perf.Sprint!$C$4:$C$41,MATCH(E79,Perf.Sprint!$B$4:$B$41,0)),"")</f>
        <v/>
      </c>
      <c r="G79" s="413"/>
      <c r="H79" s="414"/>
      <c r="I79" s="415" t="str">
        <f ca="1">IF(B79&lt;&gt;0,INDEX(Perf.Sprint!$BJ$4:$BJ$40,MATCH(B79,Perf.Sprint!$B$4:$B$40,0)),"")</f>
        <v/>
      </c>
      <c r="J79" s="415" t="str">
        <f ca="1">IF(E79&lt;&gt;0,INDEX(Perf.Sprint!$BG$4:$BG$40,MATCH(E79,Perf.Sprint!$B$4:$B$40,0)),"")</f>
        <v/>
      </c>
      <c r="K79" s="416" t="str">
        <f t="shared" ref="K79:K80" ca="1" si="362">IFERROR(SUM(I79+J79),"")</f>
        <v/>
      </c>
      <c r="L79" s="413" t="str">
        <f t="shared" ref="L79:L80" ca="1" si="363">IF(K79="","",ROUND($J$2/K79,1))</f>
        <v/>
      </c>
      <c r="M79" s="417" t="str">
        <f t="shared" ref="M79:M80" ca="1" si="364">IF(K79="","",(L79*3600)/1000)</f>
        <v/>
      </c>
      <c r="N79" s="418"/>
      <c r="O79" s="419" t="str">
        <f t="shared" ref="O79:O80" si="365">IFERROR(IF(N79="","",ROUND($J$2/N79,1)),"")</f>
        <v/>
      </c>
      <c r="P79" s="420" t="str">
        <f t="shared" ref="P79:P80" si="366">IF(O79&lt;&gt;"",(O79*3600)/1000,"")</f>
        <v/>
      </c>
      <c r="Q79" s="467"/>
      <c r="R79" s="422"/>
      <c r="S79" s="423"/>
      <c r="T79" s="423"/>
      <c r="U79" s="424"/>
      <c r="V79" s="425" t="str">
        <f t="shared" ref="V79" si="367">IF(COUNT(N79:N80)=2,SUM(N79:N80),"")</f>
        <v/>
      </c>
      <c r="W79" s="426" t="str">
        <f t="shared" ref="W79:W80" ca="1" si="368">IF($V79="","",IF(OR(AND(C79="M",F79="F"),AND(C79="F",F79="M")),VLOOKUP($V79,INDIRECT("rel"),1),VLOOKUP($V79,INDIRECT(C79&amp;"rel"),1)))</f>
        <v/>
      </c>
      <c r="X79" s="426" t="str">
        <f t="shared" ref="X79:X80" ca="1" si="369">IFERROR(IF(OR(AND(C79="M",F79="F"),AND(C79="F",F79="M")),INDEX(INDIRECT("rel"),MATCH($V79,INDIRECT("rel"))+1),INDEX(INDIRECT(C79&amp;"rel"),MATCH($V79,INDIRECT(C79&amp;"rel"))+1)),"")</f>
        <v/>
      </c>
      <c r="Y79" s="426" t="str">
        <f t="shared" ref="Y79:Y80" ca="1" si="370">IF(X79="",W79,IF(V79=W79,W79,X79))</f>
        <v/>
      </c>
      <c r="Z79" s="427" t="str">
        <f ca="1">IF(Y79="","",IF(OR(AND(C79="M",F79="F"),AND(C79="F",F79="M")),VLOOKUP(Y79,relais,3),IF(C79="F",VLOOKUP(Y79,relaisf,7),VLOOKUP(Y79,relaisg,5))))</f>
        <v/>
      </c>
      <c r="AA79" s="428" t="str">
        <f t="shared" ref="AA79" ca="1" si="371">IFERROR(AVERAGE(Z79,Z80),"")</f>
        <v/>
      </c>
      <c r="AB79" s="471" t="str">
        <f t="shared" ref="AB79:AB80" si="372">IFERROR(IF(COUNT($N79)=1,($N79/K79)-1,""),"")</f>
        <v/>
      </c>
      <c r="AC79" s="430" t="str">
        <f>IF($AB79&lt;&gt;"",INDEX(Barème!$AI$3:$AI$28,MATCH($AB79,Barème!$AH$3:$AH$28,-1)),"")</f>
        <v/>
      </c>
      <c r="AD79" s="428" t="str">
        <f t="shared" ref="AD79" si="373">IF(COUNT(AC79:AC80)&gt;1,AVERAGE(AC79,AC80),"")</f>
        <v/>
      </c>
      <c r="AE79" s="431" t="str">
        <f t="shared" si="336"/>
        <v/>
      </c>
      <c r="AF79" s="428" t="str">
        <f t="shared" ref="AF79" si="374">IFERROR(AVERAGE(AE79:AE80),"")</f>
        <v/>
      </c>
      <c r="AG79" s="432" t="str">
        <f t="shared" ref="AG79:AG80" si="375">IF(COUNTA(R79)=1,COUNTIF(R79,"OUI"),"")</f>
        <v/>
      </c>
      <c r="AH79" s="433" t="str">
        <f t="shared" ref="AH79:AH80" si="376">IF(COUNTA(U79)=1,COUNTIF(U79,"OUI"),"")</f>
        <v/>
      </c>
      <c r="AI79" s="434" t="str">
        <f t="shared" ref="AI79:AI80" si="377">IF(COUNTA(S79:T79)=2,COUNTIF(S79:T79,"OUI"),"")</f>
        <v/>
      </c>
      <c r="AJ79" s="428" t="str">
        <f t="shared" ref="AJ79" si="378">IF(COUNT(AG79:AH79,AI80)=3,MROUND(SUM(AG79,AH79,AI80),0.25),"")</f>
        <v/>
      </c>
      <c r="AK79" s="428" t="str">
        <f t="shared" ref="AK79:AK80" si="379">IFERROR((AF79/4)*3+(AJ79/4)*3,"")</f>
        <v/>
      </c>
    </row>
    <row r="80" spans="1:38" ht="24" customHeight="1" thickBot="1">
      <c r="A80" s="321" t="s">
        <v>128</v>
      </c>
      <c r="B80" s="468" t="str">
        <f t="shared" ref="B80" ca="1" si="380">E79</f>
        <v/>
      </c>
      <c r="C80" s="436" t="str">
        <f ca="1">IF(B80&lt;&gt;"",INDEX(Perf.Sprint!$C$4:$C$41,MATCH(B80,Perf.Sprint!$B$4:$B$41,0)),"")</f>
        <v/>
      </c>
      <c r="D80" s="436" t="s">
        <v>149</v>
      </c>
      <c r="E80" s="436" t="str">
        <f t="shared" ref="E80" ca="1" si="381">B79</f>
        <v/>
      </c>
      <c r="F80" s="436" t="str">
        <f ca="1">IF(E80&lt;&gt;"",INDEX(Perf.Sprint!$C$4:$C$41,MATCH(E80,Perf.Sprint!$B$4:$B$41,0)),"")</f>
        <v/>
      </c>
      <c r="G80" s="436"/>
      <c r="H80" s="437"/>
      <c r="I80" s="438" t="str">
        <f ca="1">IF(B80&lt;&gt;0,INDEX(Perf.Sprint!$BJ$4:$BJ$40,MATCH(B80,Perf.Sprint!$B$4:$B$40,0)),"")</f>
        <v/>
      </c>
      <c r="J80" s="438" t="str">
        <f ca="1">IF(E80&lt;&gt;0,INDEX(Perf.Sprint!$BG$4:$BG$40,MATCH(E80,Perf.Sprint!$B$4:$B$40,0)),"")</f>
        <v/>
      </c>
      <c r="K80" s="438" t="str">
        <f t="shared" ca="1" si="362"/>
        <v/>
      </c>
      <c r="L80" s="436" t="str">
        <f t="shared" ca="1" si="363"/>
        <v/>
      </c>
      <c r="M80" s="439" t="str">
        <f t="shared" ca="1" si="364"/>
        <v/>
      </c>
      <c r="N80" s="440"/>
      <c r="O80" s="441" t="str">
        <f t="shared" si="365"/>
        <v/>
      </c>
      <c r="P80" s="442" t="str">
        <f t="shared" si="366"/>
        <v/>
      </c>
      <c r="Q80" s="469"/>
      <c r="R80" s="444"/>
      <c r="S80" s="445"/>
      <c r="T80" s="445"/>
      <c r="U80" s="446"/>
      <c r="V80" s="447" t="str">
        <f t="shared" ref="V80" si="382">IF(COUNT(N79:N80)=2,SUM(N79:N80),"")</f>
        <v/>
      </c>
      <c r="W80" s="448" t="str">
        <f t="shared" ca="1" si="368"/>
        <v/>
      </c>
      <c r="X80" s="448" t="str">
        <f t="shared" ca="1" si="369"/>
        <v/>
      </c>
      <c r="Y80" s="448" t="str">
        <f t="shared" ca="1" si="370"/>
        <v/>
      </c>
      <c r="Z80" s="449" t="str">
        <f ca="1">IF(Y80="","",IF(OR(AND(C80="M",F80="F"),AND(C80="F",F80="M")),VLOOKUP(Y80,relais,3),IF(C80="F",VLOOKUP(Y80,relaisf,7),VLOOKUP(Y80,relaisg,5))))</f>
        <v/>
      </c>
      <c r="AA80" s="450" t="str">
        <f t="shared" ref="AA80" ca="1" si="383">IFERROR(AVERAGE(Z79,Z80),"")</f>
        <v/>
      </c>
      <c r="AB80" s="472" t="str">
        <f t="shared" si="372"/>
        <v/>
      </c>
      <c r="AC80" s="452" t="str">
        <f>IF($AB80&lt;&gt;"",INDEX(Barème!$AI$3:$AI$28,MATCH($AB80,Barème!$AH$3:$AH$28,-1)),"")</f>
        <v/>
      </c>
      <c r="AD80" s="450" t="str">
        <f t="shared" ref="AD80" si="384">IF(COUNT(AC79:AC80)&gt;1,AVERAGE(AC79,AC80),"")</f>
        <v/>
      </c>
      <c r="AE80" s="453" t="str">
        <f t="shared" si="336"/>
        <v/>
      </c>
      <c r="AF80" s="450" t="str">
        <f t="shared" ref="AF80" si="385">IFERROR(AVERAGE(AE80,AE79),"")</f>
        <v/>
      </c>
      <c r="AG80" s="432" t="str">
        <f t="shared" si="375"/>
        <v/>
      </c>
      <c r="AH80" s="433" t="str">
        <f t="shared" si="376"/>
        <v/>
      </c>
      <c r="AI80" s="434" t="str">
        <f t="shared" si="377"/>
        <v/>
      </c>
      <c r="AJ80" s="450" t="str">
        <f t="shared" ref="AJ80" si="386">IF(COUNT(AG80:AH80,AI79)=3,MROUND(SUM(AG80,AH80,AI79),0.25),"")</f>
        <v/>
      </c>
      <c r="AK80" s="450" t="str">
        <f t="shared" si="379"/>
        <v/>
      </c>
    </row>
    <row r="81" spans="1:37">
      <c r="B81" s="321"/>
      <c r="F81" s="479" t="s">
        <v>103</v>
      </c>
      <c r="G81" s="476" t="s">
        <v>103</v>
      </c>
      <c r="H81" s="477"/>
      <c r="I81" s="478"/>
      <c r="J81" s="478"/>
      <c r="K81" s="478">
        <f t="shared" ref="K81:Q81" ca="1" si="387">IFERROR(AVERAGE(K4:K80),"")</f>
        <v>10.25</v>
      </c>
      <c r="L81" s="478">
        <f t="shared" ca="1" si="387"/>
        <v>5.8888888888888893</v>
      </c>
      <c r="M81" s="478">
        <f t="shared" ca="1" si="387"/>
        <v>21.200000000000003</v>
      </c>
      <c r="N81" s="478">
        <f t="shared" si="387"/>
        <v>11.586111111111112</v>
      </c>
      <c r="O81" s="478">
        <f t="shared" si="387"/>
        <v>5.2611111111111111</v>
      </c>
      <c r="P81" s="478">
        <f t="shared" si="387"/>
        <v>18.940000000000001</v>
      </c>
      <c r="Q81" s="478" t="str">
        <f t="shared" si="387"/>
        <v/>
      </c>
      <c r="U81" s="479" t="s">
        <v>103</v>
      </c>
      <c r="V81" s="478">
        <f>IFERROR(AVERAGE(V4:V80),"")</f>
        <v>23.172222222222221</v>
      </c>
      <c r="W81" s="478">
        <f t="shared" ref="W81:AK81" ca="1" si="388">IFERROR(AVERAGE(W4:W80),"")</f>
        <v>22.888888888888882</v>
      </c>
      <c r="X81" s="478">
        <f t="shared" ca="1" si="388"/>
        <v>23.488888888888884</v>
      </c>
      <c r="Y81" s="478">
        <f t="shared" ca="1" si="388"/>
        <v>23.488888888888884</v>
      </c>
      <c r="Z81" s="478">
        <f t="shared" ca="1" si="388"/>
        <v>3.5</v>
      </c>
      <c r="AA81" s="478">
        <f t="shared" ca="1" si="388"/>
        <v>3.5</v>
      </c>
      <c r="AB81" s="478">
        <f t="shared" ca="1" si="388"/>
        <v>0.12771622540607253</v>
      </c>
      <c r="AC81" s="478">
        <f t="shared" ca="1" si="388"/>
        <v>1.1666666666666667</v>
      </c>
      <c r="AD81" s="478">
        <f t="shared" ca="1" si="388"/>
        <v>1.1666666666666667</v>
      </c>
      <c r="AE81" s="478">
        <f t="shared" si="388"/>
        <v>2.6111111111111112</v>
      </c>
      <c r="AF81" s="478">
        <f t="shared" si="388"/>
        <v>2.6111111111111112</v>
      </c>
      <c r="AG81" s="478">
        <f t="shared" si="388"/>
        <v>0.94444444444444442</v>
      </c>
      <c r="AH81" s="478">
        <f t="shared" si="388"/>
        <v>1</v>
      </c>
      <c r="AI81" s="478">
        <f t="shared" si="388"/>
        <v>1.7777777777777777</v>
      </c>
      <c r="AJ81" s="478">
        <f t="shared" si="388"/>
        <v>3.7222222222222223</v>
      </c>
      <c r="AK81" s="478">
        <f t="shared" si="388"/>
        <v>4.75</v>
      </c>
    </row>
    <row r="82" spans="1:37">
      <c r="A82" s="321"/>
      <c r="F82" s="480" t="s">
        <v>105</v>
      </c>
      <c r="G82" s="481"/>
      <c r="H82" s="482">
        <f t="array" aca="1" ref="H82" ca="1">IF(ISERROR(AVERAGE(IF($G$4:$G$68="FF",H$4:H$68))),"",AVERAGE(IF($G$4:$G$68="FF",H$4:H$68)))</f>
        <v>0</v>
      </c>
      <c r="I82" s="482"/>
      <c r="J82" s="482">
        <f t="array" aca="1" ref="J82" ca="1">IF(ISERROR(AVERAGE(IF($G$4:$G$68="FF",J$4:J$68))),"",AVERAGE(IF($G$4:$G$68="FF",J$4:J$68)))</f>
        <v>4.0500000000000007</v>
      </c>
      <c r="K82" s="482">
        <f t="array" aca="1" ref="K82" ca="1">IF(ISERROR(AVERAGE(IF($G$4:$G$68="FF",K$4:K$68))),"",AVERAGE(IF($G$4:$G$68="FF",K$4:K$68)))</f>
        <v>10.600000000000001</v>
      </c>
      <c r="L82" s="482">
        <f t="array" aca="1" ref="L82" ca="1">IF(ISERROR(AVERAGE(IF($G$4:$G$68="FF",L$4:L$68))),"",AVERAGE(IF($G$4:$G$68="FF",L$4:L$68)))</f>
        <v>5.6750000000000007</v>
      </c>
      <c r="M82" s="482">
        <f t="array" aca="1" ref="M82" ca="1">IF(ISERROR(AVERAGE(IF($G$4:$G$68="FF",M$4:M$68))),"",AVERAGE(IF($G$4:$G$68="FF",M$4:M$68)))</f>
        <v>20.43</v>
      </c>
      <c r="N82" s="482">
        <f t="array" aca="1" ref="N82" ca="1">IF(ISERROR(AVERAGE(IF($G$4:$G$68="FF",N$4:N$68))),"",AVERAGE(IF($G$4:$G$68="FF",N$4:N$68)))</f>
        <v>11.9725</v>
      </c>
      <c r="O82" s="482">
        <f t="array" aca="1" ref="O82" ca="1">IF(ISERROR(AVERAGE(IF($G$4:$G$68="FF",O$4:O$68))),"",AVERAGE(IF($G$4:$G$68="FF",O$4:O$68)))</f>
        <v>5.0250000000000004</v>
      </c>
      <c r="P82" s="482">
        <f t="array" aca="1" ref="P82" ca="1">IF(ISERROR(AVERAGE(IF($G$4:$G$68="FF",P$4:P$68))),"",AVERAGE(IF($G$4:$G$68="FF",P$4:P$68)))</f>
        <v>18.09</v>
      </c>
      <c r="U82" s="483" t="s">
        <v>105</v>
      </c>
      <c r="V82" s="482">
        <f t="array" aca="1" ref="V82" ca="1">IF(ISERROR(AVERAGE(IF($G$4:$G$68="FF",V$4:V$68))),"",AVERAGE(IF($G$4:$G$68="FF",V$4:V$68)))</f>
        <v>23.945</v>
      </c>
      <c r="W82" s="482">
        <f t="array" aca="1" ref="W82" ca="1">IF(ISERROR(AVERAGE(IF($G$4:$G$68="FF",W$4:W$68))),"",AVERAGE(IF($G$4:$G$68="FF",W$4:W$68)))</f>
        <v>23.699999999999996</v>
      </c>
      <c r="X82" s="482">
        <f t="array" aca="1" ref="X82" ca="1">IF(ISERROR(AVERAGE(IF($G$4:$G$68="FF",X$4:X$68))),"",AVERAGE(IF($G$4:$G$68="FF",X$4:X$68)))</f>
        <v>24.199999999999996</v>
      </c>
      <c r="Y82" s="482">
        <f t="array" aca="1" ref="Y82" ca="1">IF(ISERROR(AVERAGE(IF($G$4:$G$68="FF",Y$4:Y$68))),"",AVERAGE(IF($G$4:$G$68="FF",Y$4:Y$68)))</f>
        <v>24.199999999999996</v>
      </c>
      <c r="Z82" s="482">
        <f t="array" aca="1" ref="Z82" ca="1">IF(ISERROR(AVERAGE(IF($G$4:$G$68="FF",Z$4:Z$68))),"",AVERAGE(IF($G$4:$G$68="FF",Z$4:Z$68)))</f>
        <v>3.625</v>
      </c>
      <c r="AA82" s="482">
        <f t="array" aca="1" ref="AA82" ca="1">IF(ISERROR(AVERAGE(IF($G$4:$G$68="FF",AA$4:AA$68))),"",AVERAGE(IF($G$4:$G$68="FF",AA$4:AA$68)))</f>
        <v>3.625</v>
      </c>
      <c r="AB82" s="484">
        <f t="array" aca="1" ref="AB82" ca="1">IF(ISERROR(AVERAGE(IF($G$4:$G$68="FF",AB$4:AB$68))),"",AVERAGE(IF($G$4:$G$68="FF",AB$4:AB$68)))</f>
        <v>0.12855982773185526</v>
      </c>
      <c r="AC82" s="482">
        <f t="array" aca="1" ref="AC82" ca="1">IF(ISERROR(AVERAGE(IF($G$4:$G$68="FF",AC$4:AC$68))),"",AVERAGE(IF($G$4:$G$68="FF",AC$4:AC$68)))</f>
        <v>0.375</v>
      </c>
      <c r="AD82" s="482">
        <f t="array" aca="1" ref="AD82" ca="1">IF(ISERROR(AVERAGE(IF($G$4:$G$68="FF",AD$4:AD$68))),"",AVERAGE(IF($G$4:$G$68="FF",AD$4:AD$68)))</f>
        <v>0.375</v>
      </c>
      <c r="AE82" s="485">
        <f t="array" aca="1" ref="AE82" ca="1">IF(ISERROR(AVERAGE(IF($G$4:$G$68="FF",AE$4:AE$68))),"",AVERAGE(IF($G$4:$G$68="FF",AE$4:AE$68)))</f>
        <v>1.5</v>
      </c>
      <c r="AF82" s="482">
        <f t="array" aca="1" ref="AF82" ca="1">IF(ISERROR(AVERAGE(IF($G$4:$G$68="FF",AF$4:AF$68))),"",AVERAGE(IF($G$4:$G$68="FF",AF$4:AF$68)))</f>
        <v>1.5</v>
      </c>
      <c r="AG82" s="482">
        <f t="array" aca="1" ref="AG82" ca="1">IF(ISERROR(AVERAGE(IF($G$4:$G$68="FF",AG$4:AG$68))),"",AVERAGE(IF($G$4:$G$68="FF",AG$4:AG$68)))</f>
        <v>0.75</v>
      </c>
      <c r="AH82" s="482">
        <f t="array" aca="1" ref="AH82" ca="1">IF(ISERROR(AVERAGE(IF($G$4:$G$68="FF",AH$4:AH$68))),"",AVERAGE(IF($G$4:$G$68="FF",AH$4:AH$68)))</f>
        <v>1</v>
      </c>
      <c r="AI82" s="482">
        <f t="array" aca="1" ref="AI82" ca="1">IF(ISERROR(AVERAGE(IF($G$4:$G$68="FF",AI$4:AI$68))),"",AVERAGE(IF($G$4:$G$68="FF",AI$4:AI$68)))</f>
        <v>1.75</v>
      </c>
      <c r="AJ82" s="482">
        <f t="array" aca="1" ref="AJ82" ca="1">IF(ISERROR(AVERAGE(IF($G$4:$G$68="FF",AJ$4:AJ$68))),"",AVERAGE(IF($G$4:$G$68="FF",AJ$4:AJ$68)))</f>
        <v>3.5</v>
      </c>
      <c r="AK82" s="246">
        <f t="array" aca="1" ref="AK82" ca="1">IF(ISERROR(AVERAGE(IF($G$4:$G$68="FF",AK$4:AK$68))),"",AVERAGE(IF($G$4:$G$68="FF",AK$4:AK$68)))</f>
        <v>3.75</v>
      </c>
    </row>
    <row r="83" spans="1:37">
      <c r="A83" s="321"/>
      <c r="F83" s="486" t="s">
        <v>107</v>
      </c>
      <c r="G83" s="481"/>
      <c r="H83" s="487">
        <f t="array" aca="1" ref="H83" ca="1">IF(ISERROR(AVERAGE(IF($G$4:$G$68="MM",H$4:H$68))),"",AVERAGE(IF($G$4:$G$68="MM",H$4:H$68)))</f>
        <v>0</v>
      </c>
      <c r="I83" s="487"/>
      <c r="J83" s="487">
        <f t="array" aca="1" ref="J83" ca="1">IF(ISERROR(AVERAGE(IF($G$4:$G$68="MM",J$4:J$68))),"",AVERAGE(IF($G$4:$G$68="MM",J$4:J$68)))</f>
        <v>3.5250000000000004</v>
      </c>
      <c r="K83" s="487">
        <f t="array" aca="1" ref="K83" ca="1">IF(ISERROR(AVERAGE(IF($G$4:$G$68="MM",K$4:K$68))),"",AVERAGE(IF($G$4:$G$68="MM",K$4:K$68)))</f>
        <v>9.3625000000000007</v>
      </c>
      <c r="L83" s="487">
        <f t="array" aca="1" ref="L83" ca="1">IF(ISERROR(AVERAGE(IF($G$4:$G$68="MM",L$4:L$68))),"",AVERAGE(IF($G$4:$G$68="MM",L$4:L$68)))</f>
        <v>6.4249999999999989</v>
      </c>
      <c r="M83" s="487">
        <f t="array" aca="1" ref="M83" ca="1">IF(ISERROR(AVERAGE(IF($G$4:$G$68="MM",M$4:M$68))),"",AVERAGE(IF($G$4:$G$68="MM",M$4:M$68)))</f>
        <v>23.13</v>
      </c>
      <c r="N83" s="487">
        <f t="array" aca="1" ref="N83" ca="1">IF(ISERROR(AVERAGE(IF($G$4:$G$68="MM",N$4:N$68))),"",AVERAGE(IF($G$4:$G$68="MM",N$4:N$68)))</f>
        <v>10.327500000000001</v>
      </c>
      <c r="O83" s="487">
        <f t="array" aca="1" ref="O83" ca="1">IF(ISERROR(AVERAGE(IF($G$4:$G$68="MM",O$4:O$68))),"",AVERAGE(IF($G$4:$G$68="MM",O$4:O$68)))</f>
        <v>5.8999999999999995</v>
      </c>
      <c r="P83" s="487">
        <f t="array" aca="1" ref="P83" ca="1">IF(ISERROR(AVERAGE(IF($G$4:$G$68="MM",P$4:P$68))),"",AVERAGE(IF($G$4:$G$68="MM",P$4:P$68)))</f>
        <v>21.240000000000002</v>
      </c>
      <c r="U83" s="488" t="s">
        <v>107</v>
      </c>
      <c r="V83" s="487">
        <f t="array" aca="1" ref="V83" ca="1">IF(ISERROR(AVERAGE(IF($G$4:$G$68="MM",V$4:V$68))),"",AVERAGE(IF($G$4:$G$68="MM",V$4:V$68)))</f>
        <v>20.654999999999998</v>
      </c>
      <c r="W83" s="487">
        <f t="array" aca="1" ref="W83" ca="1">IF(ISERROR(AVERAGE(IF($G$4:$G$68="MM",W$4:W$68))),"",AVERAGE(IF($G$4:$G$68="MM",W$4:W$68)))</f>
        <v>20.399999999999999</v>
      </c>
      <c r="X83" s="487">
        <f t="array" aca="1" ref="X83" ca="1">IF(ISERROR(AVERAGE(IF($G$4:$G$68="MM",X$4:X$68))),"",AVERAGE(IF($G$4:$G$68="MM",X$4:X$68)))</f>
        <v>20.9</v>
      </c>
      <c r="Y83" s="487">
        <f t="array" aca="1" ref="Y83" ca="1">IF(ISERROR(AVERAGE(IF($G$4:$G$68="MM",Y$4:Y$68))),"",AVERAGE(IF($G$4:$G$68="MM",Y$4:Y$68)))</f>
        <v>20.9</v>
      </c>
      <c r="Z83" s="487">
        <f t="array" aca="1" ref="Z83" ca="1">IF(ISERROR(AVERAGE(IF($G$4:$G$68="MM",Z$4:Z$68))),"",AVERAGE(IF($G$4:$G$68="MM",Z$4:Z$68)))</f>
        <v>4.25</v>
      </c>
      <c r="AA83" s="487">
        <f t="array" aca="1" ref="AA83" ca="1">IF(ISERROR(AVERAGE(IF($G$4:$G$68="MM",AA$4:AA$68))),"",AVERAGE(IF($G$4:$G$68="MM",AA$4:AA$68)))</f>
        <v>4.25</v>
      </c>
      <c r="AB83" s="489">
        <f t="array" aca="1" ref="AB83" ca="1">IF(ISERROR(AVERAGE(IF($G$4:$G$68="MM",AB$4:AB$68))),"",AVERAGE(IF($G$4:$G$68="MM",AB$4:AB$68)))</f>
        <v>9.9176033932873109E-2</v>
      </c>
      <c r="AC83" s="487">
        <f t="array" aca="1" ref="AC83" ca="1">IF(ISERROR(AVERAGE(IF($G$4:$G$68="MM",AC$4:AC$68))),"",AVERAGE(IF($G$4:$G$68="MM",AC$4:AC$68)))</f>
        <v>2.4375</v>
      </c>
      <c r="AD83" s="487">
        <f t="array" aca="1" ref="AD83" ca="1">IF(ISERROR(AVERAGE(IF($G$4:$G$68="MM",AD$4:AD$68))),"",AVERAGE(IF($G$4:$G$68="MM",AD$4:AD$68)))</f>
        <v>2.4375</v>
      </c>
      <c r="AE83" s="490">
        <f t="array" aca="1" ref="AE83" ca="1">IF(ISERROR(AVERAGE(IF($G$4:$G$68="MM",AE$4:AE$68))),"",AVERAGE(IF($G$4:$G$68="MM",AE$4:AE$68)))</f>
        <v>3.25</v>
      </c>
      <c r="AF83" s="487">
        <f t="array" aca="1" ref="AF83" ca="1">IF(ISERROR(AVERAGE(IF($G$4:$G$68="MM",AF$4:AF$68))),"",AVERAGE(IF($G$4:$G$68="MM",AF$4:AF$68)))</f>
        <v>3.25</v>
      </c>
      <c r="AG83" s="487">
        <f t="array" aca="1" ref="AG83" ca="1">IF(ISERROR(AVERAGE(IF($G$4:$G$68="MM",AG$4:AG$68))),"",AVERAGE(IF($G$4:$G$68="MM",AG$4:AG$68)))</f>
        <v>1</v>
      </c>
      <c r="AH83" s="487">
        <f t="array" aca="1" ref="AH83" ca="1">IF(ISERROR(AVERAGE(IF($G$4:$G$68="MM",AH$4:AH$68))),"",AVERAGE(IF($G$4:$G$68="MM",AH$4:AH$68)))</f>
        <v>1</v>
      </c>
      <c r="AI83" s="487">
        <f t="array" aca="1" ref="AI83" ca="1">IF(ISERROR(AVERAGE(IF($G$4:$G$68="MM",AI$4:AI$68))),"",AVERAGE(IF($G$4:$G$68="MM",AI$4:AI$68)))</f>
        <v>2</v>
      </c>
      <c r="AJ83" s="487">
        <f t="array" aca="1" ref="AJ83" ca="1">IF(ISERROR(AVERAGE(IF($G$4:$G$68="MM",AJ$4:AJ$68))),"",AVERAGE(IF($G$4:$G$68="MM",AJ$4:AJ$68)))</f>
        <v>4</v>
      </c>
      <c r="AK83" s="256">
        <f t="array" aca="1" ref="AK83" ca="1">IF(ISERROR(AVERAGE(IF($G$4:$G$68="MM",AK$4:AK$68))),"",AVERAGE(IF($G$4:$G$68="MM",AK$4:AK$68)))</f>
        <v>5.4375</v>
      </c>
    </row>
    <row r="84" spans="1:37">
      <c r="A84" s="321"/>
      <c r="F84" s="480" t="s">
        <v>109</v>
      </c>
      <c r="G84" s="481"/>
      <c r="H84" s="482">
        <f t="array" aca="1" ref="H84" ca="1">IF(ISERROR(MIN(IF($G$4:$G$68="FF",H$4:H$68))),"",MIN(IF($G$4:$G$68="FF",H$4:H$68)))</f>
        <v>0</v>
      </c>
      <c r="I84" s="482"/>
      <c r="J84" s="482">
        <f t="array" aca="1" ref="J84" ca="1">IF(ISERROR(MIN(IF($G$4:$G$68="FF",J$4:J$68))),"",MIN(IF($G$4:$G$68="FF",J$4:J$68)))</f>
        <v>3.7</v>
      </c>
      <c r="K84" s="482">
        <f t="array" aca="1" ref="K84" ca="1">IF(ISERROR(MIN(IF($G$4:$G$68="FF",K$4:K$68))),"",MIN(IF($G$4:$G$68="FF",K$4:K$68)))</f>
        <v>10.25</v>
      </c>
      <c r="L84" s="482">
        <f t="array" aca="1" ref="L84" ca="1">IF(ISERROR(MIN(IF($G$4:$G$68="FF",L$4:L$68))),"",MIN(IF($G$4:$G$68="FF",L$4:L$68)))</f>
        <v>5.4</v>
      </c>
      <c r="M84" s="482">
        <f t="array" aca="1" ref="M84" ca="1">IF(ISERROR(MIN(IF($G$4:$G$68="FF",M$4:M$68))),"",MIN(IF($G$4:$G$68="FF",M$4:M$68)))</f>
        <v>19.440000000000001</v>
      </c>
      <c r="N84" s="482">
        <f t="array" aca="1" ref="N84" ca="1">IF(ISERROR(MIN(IF($G$4:$G$68="FF",N$4:N$68))),"",MIN(IF($G$4:$G$68="FF",N$4:N$68)))</f>
        <v>11.1</v>
      </c>
      <c r="O84" s="482">
        <f t="array" aca="1" ref="O84" ca="1">IF(ISERROR(MIN(IF($G$4:$G$68="FF",O$4:O$68))),"",MIN(IF($G$4:$G$68="FF",O$4:O$68)))</f>
        <v>4.7</v>
      </c>
      <c r="P84" s="482">
        <f t="array" aca="1" ref="P84" ca="1">IF(ISERROR(MIN(IF($G$4:$G$68="FF",P$4:P$68))),"",MIN(IF($G$4:$G$68="FF",P$4:P$68)))</f>
        <v>16.920000000000002</v>
      </c>
      <c r="U84" s="483" t="s">
        <v>109</v>
      </c>
      <c r="V84" s="482">
        <f t="array" aca="1" ref="V84" ca="1">IF(ISERROR(MIN(IF($G$4:$G$68="FF",V$4:V$68))),"",MIN(IF($G$4:$G$68="FF",V$4:V$68)))</f>
        <v>22.57</v>
      </c>
      <c r="W84" s="482">
        <f t="array" aca="1" ref="W84" ca="1">IF(ISERROR(MIN(IF($G$4:$G$68="FF",W$4:W$68))),"",MIN(IF($G$4:$G$68="FF",W$4:W$68)))</f>
        <v>22.399999999999995</v>
      </c>
      <c r="X84" s="482">
        <f t="array" aca="1" ref="X84" ca="1">IF(ISERROR(MIN(IF($G$4:$G$68="FF",X$4:X$68))),"",MIN(IF($G$4:$G$68="FF",X$4:X$68)))</f>
        <v>22.799999999999994</v>
      </c>
      <c r="Y84" s="482">
        <f t="array" aca="1" ref="Y84" ca="1">IF(ISERROR(MIN(IF($G$4:$G$68="FF",Y$4:Y$68))),"",MIN(IF($G$4:$G$68="FF",Y$4:Y$68)))</f>
        <v>22.799999999999994</v>
      </c>
      <c r="Z84" s="482">
        <f t="array" aca="1" ref="Z84" ca="1">IF(ISERROR(MIN(IF($G$4:$G$68="FF",Z$4:Z$68))),"",MIN(IF($G$4:$G$68="FF",Z$4:Z$68)))</f>
        <v>3</v>
      </c>
      <c r="AA84" s="482">
        <f t="array" aca="1" ref="AA84" ca="1">IF(ISERROR(MIN(IF($G$4:$G$68="FF",AA$4:AA$68))),"",MIN(IF($G$4:$G$68="FF",AA$4:AA$68)))</f>
        <v>3</v>
      </c>
      <c r="AB84" s="484">
        <f t="array" aca="1" ref="AB84" ca="1">IF(ISERROR(MIN(IF($G$4:$G$68="FF",AB$4:AB$68))),"",MIN(IF($G$4:$G$68="FF",AB$4:AB$68)))</f>
        <v>8.2926829268292757E-2</v>
      </c>
      <c r="AC84" s="482">
        <f t="array" aca="1" ref="AC84" ca="1">IF(ISERROR(MIN(IF($G$4:$G$68="FF",AC$4:AC$68))),"",MIN(IF($G$4:$G$68="FF",AC$4:AC$68)))</f>
        <v>0</v>
      </c>
      <c r="AD84" s="482">
        <f t="array" aca="1" ref="AD84" ca="1">IF(ISERROR(MIN(IF($G$4:$G$68="FF",AD$4:AD$68))),"",MIN(IF($G$4:$G$68="FF",AD$4:AD$68)))</f>
        <v>0</v>
      </c>
      <c r="AE84" s="485">
        <f t="array" aca="1" ref="AE84" ca="1">IF(ISERROR(MIN(IF($G$4:$G$68="FF",AE$4:AE$68))),"",MIN(IF($G$4:$G$68="FF",AE$4:AE$68)))</f>
        <v>1</v>
      </c>
      <c r="AF84" s="482">
        <f t="array" aca="1" ref="AF84" ca="1">IF(ISERROR(MIN(IF($G$4:$G$68="FF",AF$4:AF$68))),"",MIN(IF($G$4:$G$68="FF",AF$4:AF$68)))</f>
        <v>1</v>
      </c>
      <c r="AG84" s="482">
        <f t="array" aca="1" ref="AG84" ca="1">IF(ISERROR(MIN(IF($G$4:$G$68="FF",AG$4:AG$68))),"",MIN(IF($G$4:$G$68="FF",AG$4:AG$68)))</f>
        <v>0</v>
      </c>
      <c r="AH84" s="482">
        <f t="array" aca="1" ref="AH84" ca="1">IF(ISERROR(MIN(IF($G$4:$G$68="FF",AH$4:AH$68))),"",MIN(IF($G$4:$G$68="FF",AH$4:AH$68)))</f>
        <v>1</v>
      </c>
      <c r="AI84" s="482">
        <f t="array" aca="1" ref="AI84" ca="1">IF(ISERROR(MIN(IF($G$4:$G$68="FF",AI$4:AI$68))),"",MIN(IF($G$4:$G$68="FF",AI$4:AI$68)))</f>
        <v>1</v>
      </c>
      <c r="AJ84" s="482">
        <f t="array" aca="1" ref="AJ84" ca="1">IF(ISERROR(MIN(IF($G$4:$G$68="FF",AJ$4:AJ$68))),"",MIN(IF($G$4:$G$68="FF",AJ$4:AJ$68)))</f>
        <v>3</v>
      </c>
      <c r="AK84" s="246">
        <f t="array" aca="1" ref="AK84" ca="1">IF(ISERROR(MIN(IF($G$4:$G$68="FF",AK$4:AK$68))),"",MIN(IF($G$4:$G$68="FF",AK$4:AK$68)))</f>
        <v>3</v>
      </c>
    </row>
    <row r="85" spans="1:37">
      <c r="A85" s="321"/>
      <c r="F85" s="486" t="s">
        <v>110</v>
      </c>
      <c r="H85" s="487">
        <f t="array" aca="1" ref="H85" ca="1">IF(ISERROR(MIN(IF($G$4:$G$68="MM",H$4:H$68))),"",MIN(IF($G$4:$G$68="MM",H$4:H$68)))</f>
        <v>0</v>
      </c>
      <c r="I85" s="487"/>
      <c r="J85" s="487">
        <f t="array" aca="1" ref="J85" ca="1">IF(ISERROR(MIN(IF($G$4:$G$68="MM",J$4:J$68))),"",MIN(IF($G$4:$G$68="MM",J$4:J$68)))</f>
        <v>3.1999999999999997</v>
      </c>
      <c r="K85" s="487">
        <f t="array" aca="1" ref="K85" ca="1">IF(ISERROR(MIN(IF($G$4:$G$68="MM",K$4:K$68))),"",MIN(IF($G$4:$G$68="MM",K$4:K$68)))</f>
        <v>8.6499999999999986</v>
      </c>
      <c r="L85" s="487">
        <f t="array" aca="1" ref="L85" ca="1">IF(ISERROR(MIN(IF($G$4:$G$68="MM",L$4:L$68))),"",MIN(IF($G$4:$G$68="MM",L$4:L$68)))</f>
        <v>5.9</v>
      </c>
      <c r="M85" s="487">
        <f t="array" aca="1" ref="M85" ca="1">IF(ISERROR(MIN(IF($G$4:$G$68="MM",M$4:M$68))),"",MIN(IF($G$4:$G$68="MM",M$4:M$68)))</f>
        <v>21.24</v>
      </c>
      <c r="N85" s="487">
        <f t="array" aca="1" ref="N85" ca="1">IF(ISERROR(MIN(IF($G$4:$G$68="MM",N$4:N$68))),"",MIN(IF($G$4:$G$68="MM",N$4:N$68)))</f>
        <v>9.06</v>
      </c>
      <c r="O85" s="487">
        <f t="array" aca="1" ref="O85" ca="1">IF(ISERROR(MIN(IF($G$4:$G$68="MM",O$4:O$68))),"",MIN(IF($G$4:$G$68="MM",O$4:O$68)))</f>
        <v>5.2</v>
      </c>
      <c r="P85" s="487">
        <f t="array" aca="1" ref="P85" ca="1">IF(ISERROR(MIN(IF($G$4:$G$68="MM",P$4:P$68))),"",MIN(IF($G$4:$G$68="MM",P$4:P$68)))</f>
        <v>18.72</v>
      </c>
      <c r="U85" s="488" t="s">
        <v>110</v>
      </c>
      <c r="V85" s="487">
        <f t="array" aca="1" ref="V85" ca="1">IF(ISERROR(MIN(IF($G$4:$G$68="MM",V$4:V$68))),"",MIN(IF($G$4:$G$68="MM",V$4:V$68)))</f>
        <v>18.149999999999999</v>
      </c>
      <c r="W85" s="487">
        <f t="array" aca="1" ref="W85" ca="1">IF(ISERROR(MIN(IF($G$4:$G$68="MM",W$4:W$68))),"",MIN(IF($G$4:$G$68="MM",W$4:W$68)))</f>
        <v>18</v>
      </c>
      <c r="X85" s="487">
        <f t="array" aca="1" ref="X85" ca="1">IF(ISERROR(MIN(IF($G$4:$G$68="MM",X$4:X$68))),"",MIN(IF($G$4:$G$68="MM",X$4:X$68)))</f>
        <v>18.2</v>
      </c>
      <c r="Y85" s="487">
        <f t="array" aca="1" ref="Y85" ca="1">IF(ISERROR(MIN(IF($G$4:$G$68="MM",Y$4:Y$68))),"",MIN(IF($G$4:$G$68="MM",Y$4:Y$68)))</f>
        <v>18.2</v>
      </c>
      <c r="Z85" s="487">
        <f t="array" aca="1" ref="Z85" ca="1">IF(ISERROR(MIN(IF($G$4:$G$68="MM",Z$4:Z$68))),"",MIN(IF($G$4:$G$68="MM",Z$4:Z$68)))</f>
        <v>2.75</v>
      </c>
      <c r="AA85" s="487">
        <f t="array" aca="1" ref="AA85" ca="1">IF(ISERROR(MIN(IF($G$4:$G$68="MM",AA$4:AA$68))),"",MIN(IF($G$4:$G$68="MM",AA$4:AA$68)))</f>
        <v>2.75</v>
      </c>
      <c r="AB85" s="489">
        <f t="array" aca="1" ref="AB85" ca="1">IF(ISERROR(MIN(IF($G$4:$G$68="MM",AB$4:AB$68))),"",MIN(IF($G$4:$G$68="MM",AB$4:AB$68)))</f>
        <v>2.9545454545454541E-2</v>
      </c>
      <c r="AC85" s="487">
        <f t="array" aca="1" ref="AC85" ca="1">IF(ISERROR(MIN(IF($G$4:$G$68="MM",AC$4:AC$68))),"",MIN(IF($G$4:$G$68="MM",AC$4:AC$68)))</f>
        <v>0</v>
      </c>
      <c r="AD85" s="487">
        <f t="array" aca="1" ref="AD85" ca="1">IF(ISERROR(MIN(IF($G$4:$G$68="MM",AD$4:AD$68))),"",MIN(IF($G$4:$G$68="MM",AD$4:AD$68)))</f>
        <v>0</v>
      </c>
      <c r="AE85" s="490">
        <f t="array" aca="1" ref="AE85" ca="1">IF(ISERROR(MIN(IF($G$4:$G$68="MM",AE$4:AE$68))),"",MIN(IF($G$4:$G$68="MM",AE$4:AE$68)))</f>
        <v>1</v>
      </c>
      <c r="AF85" s="487">
        <f t="array" aca="1" ref="AF85" ca="1">IF(ISERROR(MIN(IF($G$4:$G$68="MM",AF$4:AF$68))),"",MIN(IF($G$4:$G$68="MM",AF$4:AF$68)))</f>
        <v>2.5</v>
      </c>
      <c r="AG85" s="487">
        <f t="array" aca="1" ref="AG85" ca="1">IF(ISERROR(MIN(IF($G$4:$G$68="MM",AG$4:AG$68))),"",MIN(IF($G$4:$G$68="MM",AG$4:AG$68)))</f>
        <v>1</v>
      </c>
      <c r="AH85" s="487">
        <f t="array" aca="1" ref="AH85" ca="1">IF(ISERROR(MIN(IF($G$4:$G$68="MM",AH$4:AH$68))),"",MIN(IF($G$4:$G$68="MM",AH$4:AH$68)))</f>
        <v>1</v>
      </c>
      <c r="AI85" s="487">
        <f t="array" aca="1" ref="AI85" ca="1">IF(ISERROR(MIN(IF($G$4:$G$68="MM",AI$4:AI$68))),"",MIN(IF($G$4:$G$68="MM",AI$4:AI$68)))</f>
        <v>2</v>
      </c>
      <c r="AJ85" s="487">
        <f t="array" aca="1" ref="AJ85" ca="1">IF(ISERROR(MIN(IF($G$4:$G$68="MM",AJ$4:AJ$68))),"",MIN(IF($G$4:$G$68="MM",AJ$4:AJ$68)))</f>
        <v>4</v>
      </c>
      <c r="AK85" s="256">
        <f t="array" aca="1" ref="AK85" ca="1">IF(ISERROR(MIN(IF($G$4:$G$68="MM",AK$4:AK$68))),"",MIN(IF($G$4:$G$68="MM",AK$4:AK$68)))</f>
        <v>4.875</v>
      </c>
    </row>
    <row r="86" spans="1:37">
      <c r="A86" s="321"/>
      <c r="F86" s="480" t="s">
        <v>111</v>
      </c>
      <c r="H86" s="482">
        <f t="array" aca="1" ref="H86" ca="1">IF(ISERROR(MAX(IF($G$4:$G$68="FF",H$4:H$68))),"",MAX(IF($G$4:$G$68="FF",H$4:H$68)))</f>
        <v>0</v>
      </c>
      <c r="I86" s="482"/>
      <c r="J86" s="482">
        <f t="array" aca="1" ref="J86" ca="1">IF(ISERROR(MAX(IF($G$4:$G$68="FF",J$4:J$68))),"",MAX(IF($G$4:$G$68="FF",J$4:J$68)))</f>
        <v>4.7000000000000011</v>
      </c>
      <c r="K86" s="482">
        <f t="array" aca="1" ref="K86" ca="1">IF(ISERROR(MAX(IF($G$4:$G$68="FF",K$4:K$68))),"",MAX(IF($G$4:$G$68="FF",K$4:K$68)))</f>
        <v>11.05</v>
      </c>
      <c r="L86" s="482">
        <f t="array" aca="1" ref="L86" ca="1">IF(ISERROR(MAX(IF($G$4:$G$68="FF",L$4:L$68))),"",MAX(IF($G$4:$G$68="FF",L$4:L$68)))</f>
        <v>5.9</v>
      </c>
      <c r="M86" s="482">
        <f t="array" aca="1" ref="M86" ca="1">IF(ISERROR(MAX(IF($G$4:$G$68="FF",M$4:M$68))),"",MAX(IF($G$4:$G$68="FF",M$4:M$68)))</f>
        <v>21.24</v>
      </c>
      <c r="N86" s="482">
        <f t="array" aca="1" ref="N86" ca="1">IF(ISERROR(MAX(IF($G$4:$G$68="FF",N$4:N$68))),"",MAX(IF($G$4:$G$68="FF",N$4:N$68)))</f>
        <v>12.8</v>
      </c>
      <c r="O86" s="482">
        <f t="array" aca="1" ref="O86" ca="1">IF(ISERROR(MAX(IF($G$4:$G$68="FF",O$4:O$68))),"",MAX(IF($G$4:$G$68="FF",O$4:O$68)))</f>
        <v>5.4</v>
      </c>
      <c r="P86" s="482">
        <f t="array" aca="1" ref="P86" ca="1">IF(ISERROR(MAX(IF($G$4:$G$68="FF",P$4:P$68))),"",MAX(IF($G$4:$G$68="FF",P$4:P$68)))</f>
        <v>19.440000000000001</v>
      </c>
      <c r="U86" s="483" t="s">
        <v>111</v>
      </c>
      <c r="V86" s="482">
        <f t="array" aca="1" ref="V86" ca="1">IF(ISERROR(MAX(IF($G$4:$G$68="FF",V$4:V$68))),"",MAX(IF($G$4:$G$68="FF",V$4:V$68)))</f>
        <v>25.32</v>
      </c>
      <c r="W86" s="482">
        <f t="array" aca="1" ref="W86" ca="1">IF(ISERROR(MAX(IF($G$4:$G$68="FF",W$4:W$68))),"",MAX(IF($G$4:$G$68="FF",W$4:W$68)))</f>
        <v>24.999999999999996</v>
      </c>
      <c r="X86" s="482">
        <f t="array" aca="1" ref="X86" ca="1">IF(ISERROR(MAX(IF($G$4:$G$68="FF",X$4:X$68))),"",MAX(IF($G$4:$G$68="FF",X$4:X$68)))</f>
        <v>25.599999999999998</v>
      </c>
      <c r="Y86" s="482">
        <f t="array" aca="1" ref="Y86" ca="1">IF(ISERROR(MAX(IF($G$4:$G$68="FF",Y$4:Y$68))),"",MAX(IF($G$4:$G$68="FF",Y$4:Y$68)))</f>
        <v>25.599999999999998</v>
      </c>
      <c r="Z86" s="482">
        <f t="array" aca="1" ref="Z86" ca="1">IF(ISERROR(MAX(IF($G$4:$G$68="FF",Z$4:Z$68))),"",MAX(IF($G$4:$G$68="FF",Z$4:Z$68)))</f>
        <v>4.25</v>
      </c>
      <c r="AA86" s="482">
        <f t="array" aca="1" ref="AA86" ca="1">IF(ISERROR(MAX(IF($G$4:$G$68="FF",AA$4:AA$68))),"",MAX(IF($G$4:$G$68="FF",AA$4:AA$68)))</f>
        <v>4.25</v>
      </c>
      <c r="AB86" s="484">
        <f t="array" aca="1" ref="AB86" ca="1">IF(ISERROR(MAX(IF($G$4:$G$68="FF",AB$4:AB$68))),"",MAX(IF($G$4:$G$68="FF",AB$4:AB$68)))</f>
        <v>0.15837104072398178</v>
      </c>
      <c r="AC86" s="482">
        <f t="array" aca="1" ref="AC86" ca="1">IF(ISERROR(MAX(IF($G$4:$G$68="FF",AC$4:AC$68))),"",MAX(IF($G$4:$G$68="FF",AC$4:AC$68)))</f>
        <v>1.5</v>
      </c>
      <c r="AD86" s="482">
        <f t="array" aca="1" ref="AD86" ca="1">IF(ISERROR(MAX(IF($G$4:$G$68="FF",AD$4:AD$68))),"",MAX(IF($G$4:$G$68="FF",AD$4:AD$68)))</f>
        <v>0.75</v>
      </c>
      <c r="AE86" s="485">
        <f t="array" aca="1" ref="AE86" ca="1">IF(ISERROR(MAX(IF($G$4:$G$68="FF",AE$4:AE$68))),"",MAX(IF($G$4:$G$68="FF",AE$4:AE$68)))</f>
        <v>3</v>
      </c>
      <c r="AF86" s="482">
        <f t="array" aca="1" ref="AF86" ca="1">IF(ISERROR(MAX(IF($G$4:$G$68="FF",AF$4:AF$68))),"",MAX(IF($G$4:$G$68="FF",AF$4:AF$68)))</f>
        <v>2</v>
      </c>
      <c r="AG86" s="482">
        <f t="array" aca="1" ref="AG86" ca="1">IF(ISERROR(MAX(IF($G$4:$G$68="FF",AG$4:AG$68))),"",MAX(IF($G$4:$G$68="FF",AG$4:AG$68)))</f>
        <v>1</v>
      </c>
      <c r="AH86" s="482">
        <f t="array" aca="1" ref="AH86" ca="1">IF(ISERROR(MAX(IF($G$4:$G$68="FF",AH$4:AH$68))),"",MAX(IF($G$4:$G$68="FF",AH$4:AH$68)))</f>
        <v>1</v>
      </c>
      <c r="AI86" s="482">
        <f t="array" aca="1" ref="AI86" ca="1">IF(ISERROR(MAX(IF($G$4:$G$68="FF",AI$4:AI$68))),"",MAX(IF($G$4:$G$68="FF",AI$4:AI$68)))</f>
        <v>2</v>
      </c>
      <c r="AJ86" s="482">
        <f t="array" aca="1" ref="AJ86" ca="1">IF(ISERROR(MAX(IF($G$4:$G$68="FF",AJ$4:AJ$68))),"",MAX(IF($G$4:$G$68="FF",AJ$4:AJ$68)))</f>
        <v>4</v>
      </c>
      <c r="AK86" s="246">
        <f t="array" aca="1" ref="AK86" ca="1">IF(ISERROR(MAX(IF($G$4:$G$68="FF",AK$4:AK$68))),"",MAX(IF($G$4:$G$68="FF",AK$4:AK$68)))</f>
        <v>4.5</v>
      </c>
    </row>
    <row r="87" spans="1:37">
      <c r="A87" s="321"/>
      <c r="F87" s="486" t="s">
        <v>112</v>
      </c>
      <c r="H87" s="487">
        <f t="array" aca="1" ref="H87" ca="1">IF(ISERROR(MAX(IF($G$4:$G$68="MM",H$4:H$68))),"",MAX(IF($G$4:$G$68="MM",H$4:H$68)))</f>
        <v>0</v>
      </c>
      <c r="I87" s="487"/>
      <c r="J87" s="487">
        <f t="array" aca="1" ref="J87" ca="1">IF(ISERROR(MAX(IF($G$4:$G$68="MM",J$4:J$68))),"",MAX(IF($G$4:$G$68="MM",J$4:J$68)))</f>
        <v>4.1000000000000005</v>
      </c>
      <c r="K87" s="487">
        <f t="array" aca="1" ref="K87" ca="1">IF(ISERROR(MAX(IF($G$4:$G$68="MM",K$4:K$68))),"",MAX(IF($G$4:$G$68="MM",K$4:K$68)))</f>
        <v>10.1</v>
      </c>
      <c r="L87" s="487">
        <f t="array" aca="1" ref="L87" ca="1">IF(ISERROR(MAX(IF($G$4:$G$68="MM",L$4:L$68))),"",MAX(IF($G$4:$G$68="MM",L$4:L$68)))</f>
        <v>6.9</v>
      </c>
      <c r="M87" s="487">
        <f t="array" aca="1" ref="M87" ca="1">IF(ISERROR(MAX(IF($G$4:$G$68="MM",M$4:M$68))),"",MAX(IF($G$4:$G$68="MM",M$4:M$68)))</f>
        <v>24.84</v>
      </c>
      <c r="N87" s="487">
        <f t="array" aca="1" ref="N87" ca="1">IF(ISERROR(MAX(IF($G$4:$G$68="MM",N$4:N$68))),"",MAX(IF($G$4:$G$68="MM",N$4:N$68)))</f>
        <v>11.61</v>
      </c>
      <c r="O87" s="487">
        <f t="array" aca="1" ref="O87" ca="1">IF(ISERROR(MAX(IF($G$4:$G$68="MM",O$4:O$68))),"",MAX(IF($G$4:$G$68="MM",O$4:O$68)))</f>
        <v>6.6</v>
      </c>
      <c r="P87" s="487">
        <f t="array" aca="1" ref="P87" ca="1">IF(ISERROR(MAX(IF($G$4:$G$68="MM",P$4:P$68))),"",MAX(IF($G$4:$G$68="MM",P$4:P$68)))</f>
        <v>23.76</v>
      </c>
      <c r="U87" s="488" t="s">
        <v>112</v>
      </c>
      <c r="V87" s="487">
        <f t="array" aca="1" ref="V87" ca="1">IF(ISERROR(MAX(IF($G$4:$G$68="MM",V$4:V$68))),"",MAX(IF($G$4:$G$68="MM",V$4:V$68)))</f>
        <v>23.16</v>
      </c>
      <c r="W87" s="487">
        <f t="array" aca="1" ref="W87" ca="1">IF(ISERROR(MAX(IF($G$4:$G$68="MM",W$4:W$68))),"",MAX(IF($G$4:$G$68="MM",W$4:W$68)))</f>
        <v>22.799999999999997</v>
      </c>
      <c r="X87" s="487">
        <f t="array" aca="1" ref="X87" ca="1">IF(ISERROR(MAX(IF($G$4:$G$68="MM",X$4:X$68))),"",MAX(IF($G$4:$G$68="MM",X$4:X$68)))</f>
        <v>23.599999999999998</v>
      </c>
      <c r="Y87" s="487">
        <f t="array" aca="1" ref="Y87" ca="1">IF(ISERROR(MAX(IF($G$4:$G$68="MM",Y$4:Y$68))),"",MAX(IF($G$4:$G$68="MM",Y$4:Y$68)))</f>
        <v>23.599999999999998</v>
      </c>
      <c r="Z87" s="487">
        <f t="array" aca="1" ref="Z87" ca="1">IF(ISERROR(MAX(IF($G$4:$G$68="MM",Z$4:Z$68))),"",MAX(IF($G$4:$G$68="MM",Z$4:Z$68)))</f>
        <v>5.75</v>
      </c>
      <c r="AA87" s="487">
        <f t="array" aca="1" ref="AA87" ca="1">IF(ISERROR(MAX(IF($G$4:$G$68="MM",AA$4:AA$68))),"",MAX(IF($G$4:$G$68="MM",AA$4:AA$68)))</f>
        <v>5.75</v>
      </c>
      <c r="AB87" s="489">
        <f t="array" aca="1" ref="AB87" ca="1">IF(ISERROR(MAX(IF($G$4:$G$68="MM",AB$4:AB$68))),"",MAX(IF($G$4:$G$68="MM",AB$4:AB$68)))</f>
        <v>0.17272727272727262</v>
      </c>
      <c r="AC87" s="487">
        <f t="array" aca="1" ref="AC87" ca="1">IF(ISERROR(MAX(IF($G$4:$G$68="MM",AC$4:AC$68))),"",MAX(IF($G$4:$G$68="MM",AC$4:AC$68)))</f>
        <v>5.5</v>
      </c>
      <c r="AD87" s="487">
        <f t="array" aca="1" ref="AD87" ca="1">IF(ISERROR(MAX(IF($G$4:$G$68="MM",AD$4:AD$68))),"",MAX(IF($G$4:$G$68="MM",AD$4:AD$68)))</f>
        <v>4.875</v>
      </c>
      <c r="AE87" s="490">
        <f t="array" aca="1" ref="AE87" ca="1">IF(ISERROR(MAX(IF($G$4:$G$68="MM",AE$4:AE$68))),"",MAX(IF($G$4:$G$68="MM",AE$4:AE$68)))</f>
        <v>4</v>
      </c>
      <c r="AF87" s="487">
        <f t="array" aca="1" ref="AF87" ca="1">IF(ISERROR(MAX(IF($G$4:$G$68="MM",AF$4:AF$68))),"",MAX(IF($G$4:$G$68="MM",AF$4:AF$68)))</f>
        <v>4</v>
      </c>
      <c r="AG87" s="487">
        <f t="array" aca="1" ref="AG87" ca="1">IF(ISERROR(MAX(IF($G$4:$G$68="MM",AG$4:AG$68))),"",MAX(IF($G$4:$G$68="MM",AG$4:AG$68)))</f>
        <v>1</v>
      </c>
      <c r="AH87" s="487">
        <f t="array" aca="1" ref="AH87" ca="1">IF(ISERROR(MAX(IF($G$4:$G$68="MM",AH$4:AH$68))),"",MAX(IF($G$4:$G$68="MM",AH$4:AH$68)))</f>
        <v>1</v>
      </c>
      <c r="AI87" s="487">
        <f t="array" aca="1" ref="AI87" ca="1">IF(ISERROR(MAX(IF($G$4:$G$68="MM",AI$4:AI$68))),"",MAX(IF($G$4:$G$68="MM",AI$4:AI$68)))</f>
        <v>2</v>
      </c>
      <c r="AJ87" s="487">
        <f t="array" aca="1" ref="AJ87" ca="1">IF(ISERROR(MAX(IF($G$4:$G$68="MM",AJ$4:AJ$68))),"",MAX(IF($G$4:$G$68="MM",AJ$4:AJ$68)))</f>
        <v>4</v>
      </c>
      <c r="AK87" s="256">
        <f t="array" aca="1" ref="AK87" ca="1">IF(ISERROR(MAX(IF($G$4:$G$68="MM",AK$4:AK$68))),"",MAX(IF($G$4:$G$68="MM",AK$4:AK$68)))</f>
        <v>6</v>
      </c>
    </row>
    <row r="88" spans="1:37">
      <c r="A88" s="321"/>
      <c r="F88" s="480" t="s">
        <v>189</v>
      </c>
      <c r="G88" s="491"/>
      <c r="H88" s="482">
        <f t="array" aca="1" ref="H88" ca="1">IF(ISERROR(MEDIAN(IF($G$4:$G$68="FF",H$4:H$68))),"",MEDIAN(IF($G$4:$G$68="FF",H$4:H$68)))</f>
        <v>0</v>
      </c>
      <c r="I88" s="482"/>
      <c r="J88" s="482">
        <f t="array" aca="1" ref="J88" ca="1">IF(ISERROR(MEDIAN(IF($G$4:$G$68="FF",J$4:J$68))),"",MEDIAN(IF($G$4:$G$68="FF",J$4:J$68)))</f>
        <v>3.9000000000000004</v>
      </c>
      <c r="K88" s="482">
        <f t="array" aca="1" ref="K88" ca="1">IF(ISERROR(MEDIAN(IF($G$4:$G$68="FF",K$4:K$68))),"",MEDIAN(IF($G$4:$G$68="FF",K$4:K$68)))</f>
        <v>10.55</v>
      </c>
      <c r="L88" s="482">
        <f t="array" aca="1" ref="L88" ca="1">IF(ISERROR(MEDIAN(IF($G$4:$G$68="FF",L$4:L$68))),"",MEDIAN(IF($G$4:$G$68="FF",L$4:L$68)))</f>
        <v>5.7</v>
      </c>
      <c r="M88" s="482">
        <f t="array" aca="1" ref="M88" ca="1">IF(ISERROR(MEDIAN(IF($G$4:$G$68="FF",M$4:M$68))),"",MEDIAN(IF($G$4:$G$68="FF",M$4:M$68)))</f>
        <v>20.52</v>
      </c>
      <c r="N88" s="482">
        <f t="array" aca="1" ref="N88" ca="1">IF(ISERROR(MEDIAN(IF($G$4:$G$68="FF",N$4:N$68))),"",MEDIAN(IF($G$4:$G$68="FF",N$4:N$68)))</f>
        <v>11.995000000000001</v>
      </c>
      <c r="O88" s="482">
        <f t="array" aca="1" ref="O88" ca="1">IF(ISERROR(MEDIAN(IF($G$4:$G$68="FF",O$4:O$68))),"",MEDIAN(IF($G$4:$G$68="FF",O$4:O$68)))</f>
        <v>5</v>
      </c>
      <c r="P88" s="482">
        <f t="array" aca="1" ref="P88" ca="1">IF(ISERROR(MEDIAN(IF($G$4:$G$68="FF",P$4:P$68))),"",MEDIAN(IF($G$4:$G$68="FF",P$4:P$68)))</f>
        <v>18</v>
      </c>
      <c r="U88" s="483" t="s">
        <v>189</v>
      </c>
      <c r="V88" s="482">
        <f t="array" aca="1" ref="V88" ca="1">IF(ISERROR(MEDIAN(IF($G$4:$G$68="FF",V$4:V$68))),"",MEDIAN(IF($G$4:$G$68="FF",V$4:V$68)))</f>
        <v>23.945</v>
      </c>
      <c r="W88" s="482">
        <f t="array" aca="1" ref="W88" ca="1">IF(ISERROR(MEDIAN(IF($G$4:$G$68="FF",W$4:W$68))),"",MEDIAN(IF($G$4:$G$68="FF",W$4:W$68)))</f>
        <v>23.699999999999996</v>
      </c>
      <c r="X88" s="482">
        <f t="array" aca="1" ref="X88" ca="1">IF(ISERROR(MEDIAN(IF($G$4:$G$68="FF",X$4:X$68))),"",MEDIAN(IF($G$4:$G$68="FF",X$4:X$68)))</f>
        <v>24.199999999999996</v>
      </c>
      <c r="Y88" s="482">
        <f t="array" aca="1" ref="Y88" ca="1">IF(ISERROR(MEDIAN(IF($G$4:$G$68="FF",Y$4:Y$68))),"",MEDIAN(IF($G$4:$G$68="FF",Y$4:Y$68)))</f>
        <v>24.199999999999996</v>
      </c>
      <c r="Z88" s="482">
        <f t="array" aca="1" ref="Z88" ca="1">IF(ISERROR(MEDIAN(IF($G$4:$G$68="FF",Z$4:Z$68))),"",MEDIAN(IF($G$4:$G$68="FF",Z$4:Z$68)))</f>
        <v>3.625</v>
      </c>
      <c r="AA88" s="482">
        <f t="array" aca="1" ref="AA88" ca="1">IF(ISERROR(MEDIAN(IF($G$4:$G$68="FF",AA$4:AA$68))),"",MEDIAN(IF($G$4:$G$68="FF",AA$4:AA$68)))</f>
        <v>3.625</v>
      </c>
      <c r="AB88" s="484">
        <f t="array" aca="1" ref="AB88" ca="1">IF(ISERROR(MEDIAN(IF($G$4:$G$68="FF",AB$4:AB$68))),"",MEDIAN(IF($G$4:$G$68="FF",AB$4:AB$68)))</f>
        <v>0.13647072046757325</v>
      </c>
      <c r="AC88" s="482">
        <f t="array" aca="1" ref="AC88" ca="1">IF(ISERROR(MEDIAN(IF($G$4:$G$68="FF",AC$4:AC$68))),"",MEDIAN(IF($G$4:$G$68="FF",AC$4:AC$68)))</f>
        <v>0</v>
      </c>
      <c r="AD88" s="482">
        <f t="array" aca="1" ref="AD88" ca="1">IF(ISERROR(MEDIAN(IF($G$4:$G$68="FF",AD$4:AD$68))),"",MEDIAN(IF($G$4:$G$68="FF",AD$4:AD$68)))</f>
        <v>0.375</v>
      </c>
      <c r="AE88" s="485">
        <f t="array" aca="1" ref="AE88" ca="1">IF(ISERROR(MEDIAN(IF($G$4:$G$68="FF",AE$4:AE$68))),"",MEDIAN(IF($G$4:$G$68="FF",AE$4:AE$68)))</f>
        <v>1</v>
      </c>
      <c r="AF88" s="482">
        <f t="array" aca="1" ref="AF88" ca="1">IF(ISERROR(MEDIAN(IF($G$4:$G$68="FF",AF$4:AF$68))),"",MEDIAN(IF($G$4:$G$68="FF",AF$4:AF$68)))</f>
        <v>1.5</v>
      </c>
      <c r="AG88" s="482">
        <f t="array" aca="1" ref="AG88" ca="1">IF(ISERROR(MEDIAN(IF($G$4:$G$68="FF",AG$4:AG$68))),"",MEDIAN(IF($G$4:$G$68="FF",AG$4:AG$68)))</f>
        <v>1</v>
      </c>
      <c r="AH88" s="482">
        <f t="array" aca="1" ref="AH88" ca="1">IF(ISERROR(MEDIAN(IF($G$4:$G$68="FF",AH$4:AH$68))),"",MEDIAN(IF($G$4:$G$68="FF",AH$4:AH$68)))</f>
        <v>1</v>
      </c>
      <c r="AI88" s="482">
        <f t="array" aca="1" ref="AI88" ca="1">IF(ISERROR(MEDIAN(IF($G$4:$G$68="FF",AI$4:AI$68))),"",MEDIAN(IF($G$4:$G$68="FF",AI$4:AI$68)))</f>
        <v>2</v>
      </c>
      <c r="AJ88" s="482">
        <f t="array" aca="1" ref="AJ88" ca="1">IF(ISERROR(MEDIAN(IF($G$4:$G$68="FF",AJ$4:AJ$68))),"",MEDIAN(IF($G$4:$G$68="FF",AJ$4:AJ$68)))</f>
        <v>3.5</v>
      </c>
      <c r="AK88" s="246">
        <f t="array" aca="1" ref="AK88" ca="1">IF(ISERROR(MEDIAN(IF($G$4:$G$68="FF",AK$4:AK$68))),"",MEDIAN(IF($G$4:$G$68="FF",AK$4:AK$68)))</f>
        <v>3.75</v>
      </c>
    </row>
    <row r="89" spans="1:37">
      <c r="A89" s="321"/>
      <c r="F89" s="486" t="s">
        <v>190</v>
      </c>
      <c r="G89" s="492"/>
      <c r="H89" s="487">
        <f t="array" aca="1" ref="H89" ca="1">IF(ISERROR(MEDIAN(IF($G$4:$G$68="MM",H$4:H$68))),"",MEDIAN(IF($G$4:$G$68="MM",H$4:H$68)))</f>
        <v>0</v>
      </c>
      <c r="I89" s="487"/>
      <c r="J89" s="487">
        <f t="array" aca="1" ref="J89" ca="1">IF(ISERROR(MEDIAN(IF($G$4:$G$68="MM",J$4:J$68))),"",MEDIAN(IF($G$4:$G$68="MM",J$4:J$68)))</f>
        <v>3.4</v>
      </c>
      <c r="K89" s="487">
        <f t="array" aca="1" ref="K89" ca="1">IF(ISERROR(MEDIAN(IF($G$4:$G$68="MM",K$4:K$68))),"",MEDIAN(IF($G$4:$G$68="MM",K$4:K$68)))</f>
        <v>9.3500000000000014</v>
      </c>
      <c r="L89" s="487">
        <f t="array" aca="1" ref="L89" ca="1">IF(ISERROR(MEDIAN(IF($G$4:$G$68="MM",L$4:L$68))),"",MEDIAN(IF($G$4:$G$68="MM",L$4:L$68)))</f>
        <v>6.4499999999999993</v>
      </c>
      <c r="M89" s="487">
        <f t="array" aca="1" ref="M89" ca="1">IF(ISERROR(MEDIAN(IF($G$4:$G$68="MM",M$4:M$68))),"",MEDIAN(IF($G$4:$G$68="MM",M$4:M$68)))</f>
        <v>23.22</v>
      </c>
      <c r="N89" s="487">
        <f t="array" aca="1" ref="N89" ca="1">IF(ISERROR(MEDIAN(IF($G$4:$G$68="MM",N$4:N$68))),"",MEDIAN(IF($G$4:$G$68="MM",N$4:N$68)))</f>
        <v>10.32</v>
      </c>
      <c r="O89" s="487">
        <f t="array" aca="1" ref="O89" ca="1">IF(ISERROR(MEDIAN(IF($G$4:$G$68="MM",O$4:O$68))),"",MEDIAN(IF($G$4:$G$68="MM",O$4:O$68)))</f>
        <v>5.9</v>
      </c>
      <c r="P89" s="487">
        <f t="array" aca="1" ref="P89" ca="1">IF(ISERROR(MEDIAN(IF($G$4:$G$68="MM",P$4:P$68))),"",MEDIAN(IF($G$4:$G$68="MM",P$4:P$68)))</f>
        <v>21.240000000000002</v>
      </c>
      <c r="U89" s="488" t="s">
        <v>190</v>
      </c>
      <c r="V89" s="487">
        <f t="array" aca="1" ref="V89" ca="1">IF(ISERROR(MEDIAN(IF($G$4:$G$68="MM",V$4:V$68))),"",MEDIAN(IF($G$4:$G$68="MM",V$4:V$68)))</f>
        <v>20.655000000000001</v>
      </c>
      <c r="W89" s="487">
        <f t="array" aca="1" ref="W89" ca="1">IF(ISERROR(MEDIAN(IF($G$4:$G$68="MM",W$4:W$68))),"",MEDIAN(IF($G$4:$G$68="MM",W$4:W$68)))</f>
        <v>20.399999999999999</v>
      </c>
      <c r="X89" s="487">
        <f t="array" aca="1" ref="X89" ca="1">IF(ISERROR(MEDIAN(IF($G$4:$G$68="MM",X$4:X$68))),"",MEDIAN(IF($G$4:$G$68="MM",X$4:X$68)))</f>
        <v>20.9</v>
      </c>
      <c r="Y89" s="487">
        <f t="array" aca="1" ref="Y89" ca="1">IF(ISERROR(MEDIAN(IF($G$4:$G$68="MM",Y$4:Y$68))),"",MEDIAN(IF($G$4:$G$68="MM",Y$4:Y$68)))</f>
        <v>20.9</v>
      </c>
      <c r="Z89" s="487">
        <f t="array" aca="1" ref="Z89" ca="1">IF(ISERROR(MEDIAN(IF($G$4:$G$68="MM",Z$4:Z$68))),"",MEDIAN(IF($G$4:$G$68="MM",Z$4:Z$68)))</f>
        <v>4.25</v>
      </c>
      <c r="AA89" s="487">
        <f t="array" aca="1" ref="AA89" ca="1">IF(ISERROR(MEDIAN(IF($G$4:$G$68="MM",AA$4:AA$68))),"",MEDIAN(IF($G$4:$G$68="MM",AA$4:AA$68)))</f>
        <v>4.25</v>
      </c>
      <c r="AB89" s="489">
        <f t="array" aca="1" ref="AB89" ca="1">IF(ISERROR(MEDIAN(IF($G$4:$G$68="MM",AB$4:AB$68))),"",MEDIAN(IF($G$4:$G$68="MM",AB$4:AB$68)))</f>
        <v>9.7215704229382638E-2</v>
      </c>
      <c r="AC89" s="487">
        <f t="array" aca="1" ref="AC89" ca="1">IF(ISERROR(MEDIAN(IF($G$4:$G$68="MM",AC$4:AC$68))),"",MEDIAN(IF($G$4:$G$68="MM",AC$4:AC$68)))</f>
        <v>2.125</v>
      </c>
      <c r="AD89" s="487">
        <f t="array" aca="1" ref="AD89" ca="1">IF(ISERROR(MEDIAN(IF($G$4:$G$68="MM",AD$4:AD$68))),"",MEDIAN(IF($G$4:$G$68="MM",AD$4:AD$68)))</f>
        <v>2.4375</v>
      </c>
      <c r="AE89" s="490">
        <f t="array" aca="1" ref="AE89" ca="1">IF(ISERROR(MEDIAN(IF($G$4:$G$68="MM",AE$4:AE$68))),"",MEDIAN(IF($G$4:$G$68="MM",AE$4:AE$68)))</f>
        <v>4</v>
      </c>
      <c r="AF89" s="487">
        <f t="array" aca="1" ref="AF89" ca="1">IF(ISERROR(MEDIAN(IF($G$4:$G$68="MM",AF$4:AF$68))),"",MEDIAN(IF($G$4:$G$68="MM",AF$4:AF$68)))</f>
        <v>3.25</v>
      </c>
      <c r="AG89" s="487">
        <f t="array" aca="1" ref="AG89" ca="1">IF(ISERROR(MEDIAN(IF($G$4:$G$68="MM",AG$4:AG$68))),"",MEDIAN(IF($G$4:$G$68="MM",AG$4:AG$68)))</f>
        <v>1</v>
      </c>
      <c r="AH89" s="487">
        <f t="array" aca="1" ref="AH89" ca="1">IF(ISERROR(MEDIAN(IF($G$4:$G$68="MM",AH$4:AH$68))),"",MEDIAN(IF($G$4:$G$68="MM",AH$4:AH$68)))</f>
        <v>1</v>
      </c>
      <c r="AI89" s="487">
        <f t="array" aca="1" ref="AI89" ca="1">IF(ISERROR(MEDIAN(IF($G$4:$G$68="MM",AI$4:AI$68))),"",MEDIAN(IF($G$4:$G$68="MM",AI$4:AI$68)))</f>
        <v>2</v>
      </c>
      <c r="AJ89" s="487">
        <f t="array" aca="1" ref="AJ89" ca="1">IF(ISERROR(MEDIAN(IF($G$4:$G$68="MM",AJ$4:AJ$68))),"",MEDIAN(IF($G$4:$G$68="MM",AJ$4:AJ$68)))</f>
        <v>4</v>
      </c>
      <c r="AK89" s="256">
        <f t="array" aca="1" ref="AK89" ca="1">IF(ISERROR(MEDIAN(IF($G$4:$G$68="MM",AK$4:AK$68))),"",MEDIAN(IF($G$4:$G$68="MM",AK$4:AK$68)))</f>
        <v>5.4375</v>
      </c>
    </row>
    <row r="90" spans="1:37"/>
    <row r="1048576" ht="14.25" hidden="1" customHeight="1"/>
  </sheetData>
  <sheetProtection sheet="1" objects="1" scenarios="1" selectLockedCells="1"/>
  <mergeCells count="15">
    <mergeCell ref="AF1:AJ1"/>
    <mergeCell ref="AB2:AB3"/>
    <mergeCell ref="B2:E2"/>
    <mergeCell ref="K2:M2"/>
    <mergeCell ref="N2:P2"/>
    <mergeCell ref="R2:U2"/>
    <mergeCell ref="AA2:AA3"/>
    <mergeCell ref="AJ2:AJ3"/>
    <mergeCell ref="AK2:AK3"/>
    <mergeCell ref="AD2:AD3"/>
    <mergeCell ref="AE2:AE3"/>
    <mergeCell ref="AF2:AF3"/>
    <mergeCell ref="AG2:AG3"/>
    <mergeCell ref="AH2:AH3"/>
    <mergeCell ref="AI2:AI3"/>
  </mergeCells>
  <dataValidations count="2">
    <dataValidation type="list" allowBlank="1" showInputMessage="1" showErrorMessage="1" sqref="R10:U11 R4:U8 R13:U14 R16:U17 R19:U20 R22:U23 R25:U26 R28:U29 R31:U32 R34:U35 R37:U38 R40:U41 R43:U44 R46:U47 R49:U50 R52:U53 R55:U56 R58:U59 R79:U80 R64:U65 R67:U68 R70:U71 R73:U74 R76:U77 R61:U62" xr:uid="{34FB4790-BB5F-4D0F-87BA-9A3A7A385AE2}">
      <formula1>"OUI,NON"</formula1>
    </dataValidation>
    <dataValidation type="list" allowBlank="1" showInputMessage="1" showErrorMessage="1" sqref="Q4:Q80" xr:uid="{11E7E413-4E0E-43F0-A410-89F53C2C7AC2}">
      <formula1>Zone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BF40A-E11F-4A88-91D6-E8B7582460AB}">
  <dimension ref="A1:AL83"/>
  <sheetViews>
    <sheetView showGridLines="0" showRowColHeaders="0" workbookViewId="0">
      <pane ySplit="3" topLeftCell="A4" activePane="bottomLeft" state="frozen"/>
      <selection pane="bottomLeft" activeCell="AB2" sqref="AB2"/>
    </sheetView>
  </sheetViews>
  <sheetFormatPr baseColWidth="10" defaultColWidth="0" defaultRowHeight="15" zeroHeight="1"/>
  <cols>
    <col min="1" max="1" width="2.28515625" bestFit="1" customWidth="1"/>
    <col min="2" max="2" width="28.28515625" customWidth="1"/>
    <col min="3" max="3" width="4.140625" bestFit="1" customWidth="1"/>
    <col min="4" max="4" width="9.7109375" bestFit="1" customWidth="1"/>
    <col min="5" max="5" width="3" bestFit="1" customWidth="1"/>
    <col min="6" max="6" width="29.5703125" customWidth="1"/>
    <col min="7" max="7" width="4.140625" bestFit="1" customWidth="1"/>
    <col min="8" max="8" width="9.7109375" bestFit="1" customWidth="1"/>
    <col min="9" max="9" width="11.140625" hidden="1" customWidth="1"/>
    <col min="10" max="10" width="10.85546875" hidden="1" customWidth="1"/>
    <col min="11" max="11" width="6.5703125" bestFit="1" customWidth="1"/>
    <col min="12" max="12" width="4" hidden="1" customWidth="1"/>
    <col min="13" max="13" width="9.7109375" bestFit="1" customWidth="1"/>
    <col min="14" max="14" width="11.140625" hidden="1" customWidth="1"/>
    <col min="15" max="15" width="10.85546875" hidden="1" customWidth="1"/>
    <col min="16" max="16" width="6.5703125" bestFit="1" customWidth="1"/>
    <col min="17" max="17" width="4" hidden="1" customWidth="1"/>
    <col min="18" max="18" width="9.7109375" bestFit="1" customWidth="1"/>
    <col min="19" max="19" width="6" hidden="1" customWidth="1"/>
    <col min="20" max="20" width="4.5703125" hidden="1" customWidth="1"/>
    <col min="21" max="21" width="3" hidden="1" customWidth="1"/>
    <col min="22" max="22" width="2.7109375" hidden="1" customWidth="1"/>
    <col min="23" max="24" width="4.5703125" hidden="1" customWidth="1"/>
    <col min="25" max="25" width="4.28515625" hidden="1" customWidth="1"/>
    <col min="26" max="26" width="3" bestFit="1" customWidth="1"/>
    <col min="27" max="27" width="30.7109375" customWidth="1"/>
    <col min="28" max="28" width="6" bestFit="1" customWidth="1"/>
    <col min="29" max="29" width="11.42578125" customWidth="1"/>
    <col min="30" max="30" width="7.42578125" bestFit="1" customWidth="1"/>
    <col min="31" max="31" width="2.28515625" hidden="1" customWidth="1"/>
    <col min="32" max="32" width="23.28515625" customWidth="1"/>
    <col min="33" max="33" width="2.7109375" bestFit="1" customWidth="1"/>
    <col min="34" max="34" width="22.7109375" customWidth="1"/>
    <col min="35" max="35" width="2.7109375" bestFit="1" customWidth="1"/>
    <col min="36" max="36" width="12.42578125" bestFit="1" customWidth="1"/>
    <col min="37" max="37" width="10" bestFit="1" customWidth="1"/>
    <col min="38" max="38" width="11.42578125" customWidth="1"/>
    <col min="39" max="16384" width="11.42578125" hidden="1"/>
  </cols>
  <sheetData>
    <row r="1" spans="1:37" ht="15.75" thickBot="1"/>
    <row r="2" spans="1:37" ht="15.75" thickBot="1">
      <c r="A2" s="321"/>
      <c r="B2" s="322"/>
      <c r="C2" s="322"/>
      <c r="D2" s="322"/>
      <c r="E2" s="322"/>
      <c r="F2" s="322"/>
      <c r="G2" s="323"/>
      <c r="H2" s="323"/>
      <c r="I2" s="689" t="s">
        <v>126</v>
      </c>
      <c r="J2" s="690"/>
      <c r="K2" s="691" t="s">
        <v>127</v>
      </c>
      <c r="L2" s="692"/>
      <c r="M2" s="693"/>
      <c r="N2" s="689" t="s">
        <v>126</v>
      </c>
      <c r="O2" s="690"/>
      <c r="P2" s="691" t="s">
        <v>128</v>
      </c>
      <c r="Q2" s="692"/>
      <c r="R2" s="693"/>
      <c r="S2" s="324" t="s">
        <v>129</v>
      </c>
      <c r="T2" s="324" t="s">
        <v>130</v>
      </c>
      <c r="U2" s="324"/>
      <c r="V2" s="324"/>
      <c r="W2" s="324"/>
      <c r="X2" s="324"/>
      <c r="Y2" s="324"/>
      <c r="AA2" s="325" t="s">
        <v>131</v>
      </c>
      <c r="AB2" s="326" t="s">
        <v>226</v>
      </c>
      <c r="AD2" s="324"/>
      <c r="AE2" s="324"/>
      <c r="AF2" s="694" t="s">
        <v>132</v>
      </c>
      <c r="AG2" s="695"/>
      <c r="AH2" s="695"/>
      <c r="AI2" s="695"/>
      <c r="AJ2" s="695"/>
      <c r="AK2" s="696"/>
    </row>
    <row r="3" spans="1:37" ht="22.5">
      <c r="A3" s="330"/>
      <c r="B3" s="331" t="s">
        <v>133</v>
      </c>
      <c r="C3" s="332" t="s">
        <v>134</v>
      </c>
      <c r="D3" s="332" t="s">
        <v>135</v>
      </c>
      <c r="E3" s="332"/>
      <c r="F3" s="332" t="s">
        <v>136</v>
      </c>
      <c r="G3" s="332" t="s">
        <v>134</v>
      </c>
      <c r="H3" s="332" t="s">
        <v>135</v>
      </c>
      <c r="I3" s="333" t="s">
        <v>137</v>
      </c>
      <c r="J3" s="333" t="s">
        <v>138</v>
      </c>
      <c r="K3" s="334">
        <v>60</v>
      </c>
      <c r="L3" s="334" t="s">
        <v>139</v>
      </c>
      <c r="M3" s="334" t="s">
        <v>140</v>
      </c>
      <c r="N3" s="333" t="s">
        <v>141</v>
      </c>
      <c r="O3" s="333" t="s">
        <v>142</v>
      </c>
      <c r="P3" s="334">
        <v>60</v>
      </c>
      <c r="Q3" s="334" t="s">
        <v>139</v>
      </c>
      <c r="R3" s="335" t="s">
        <v>140</v>
      </c>
      <c r="S3" s="330" t="s">
        <v>103</v>
      </c>
      <c r="T3" s="330" t="s">
        <v>103</v>
      </c>
      <c r="U3" s="330"/>
      <c r="V3" s="330"/>
      <c r="W3" s="330"/>
      <c r="X3" s="330"/>
      <c r="Y3" s="330" t="s">
        <v>115</v>
      </c>
      <c r="Z3" s="324"/>
      <c r="AA3" s="336" t="s">
        <v>88</v>
      </c>
      <c r="AB3" s="336" t="s">
        <v>143</v>
      </c>
      <c r="AC3" s="324"/>
      <c r="AD3" s="337" t="s">
        <v>144</v>
      </c>
      <c r="AE3" s="338"/>
      <c r="AF3" s="327" t="s">
        <v>133</v>
      </c>
      <c r="AG3" s="339" t="s">
        <v>145</v>
      </c>
      <c r="AH3" s="328" t="s">
        <v>136</v>
      </c>
      <c r="AI3" s="339" t="s">
        <v>145</v>
      </c>
      <c r="AJ3" s="328" t="s">
        <v>146</v>
      </c>
      <c r="AK3" s="329" t="s">
        <v>147</v>
      </c>
    </row>
    <row r="4" spans="1:37" ht="24" customHeight="1">
      <c r="A4" s="330" t="s">
        <v>148</v>
      </c>
      <c r="B4" s="340"/>
      <c r="C4" s="341" t="str">
        <f>IF(B4&lt;&gt;0,INDEX(Perf.Sprint!$C$4:$C$41,MATCH(B4,Perf.Sprint!$B$4:$B$41,0)),"")</f>
        <v/>
      </c>
      <c r="D4" s="342" t="str">
        <f t="array" ref="D4">IF(B4&lt;&gt;0,INDEX(Perf.Sprint!$AM$4:$AM$40,MATCH(B4,Perf.Sprint!$B$4:$B$40,0)),"")</f>
        <v/>
      </c>
      <c r="E4" s="343" t="s">
        <v>149</v>
      </c>
      <c r="F4" s="344"/>
      <c r="G4" s="341" t="str">
        <f>IF(F4&lt;&gt;0,INDEX(Perf.Sprint!$C$4:$C$41,MATCH(F4,Perf.Sprint!$B$4:$B$41,0)),"")</f>
        <v/>
      </c>
      <c r="H4" s="342" t="str">
        <f t="array" ref="H4">IF(F4&lt;&gt;0,INDEX(Perf.Sprint!$AM$4:$AM$40,MATCH(F4,Perf.Sprint!$B$4:$B$40,0)),"")</f>
        <v/>
      </c>
      <c r="I4" s="345" t="str">
        <f>IF(B4&lt;&gt;0,INDEX(Perf.Sprint!$BJ$4:$BJ$40,MATCH(B4,Perf.Sprint!$B$4:$B$40,0)),"")</f>
        <v/>
      </c>
      <c r="J4" s="345" t="str">
        <f>IF(F4&lt;&gt;0,INDEX(Perf.Sprint!$BG$4:$BG$40,MATCH(F4,Perf.Sprint!$B$4:$B$40,0)),"")</f>
        <v/>
      </c>
      <c r="K4" s="346" t="str">
        <f t="shared" ref="K4:K29" si="0">IFERROR(SUM(J4+I4),"")</f>
        <v/>
      </c>
      <c r="L4" s="347" t="str">
        <f t="shared" ref="L4:L29" si="1">IF(K4="","",ROUND($K$3/K4,1))</f>
        <v/>
      </c>
      <c r="M4" s="342" t="str">
        <f t="shared" ref="M4:M29" si="2">IF(K4="","",(L4*3600)/1000)</f>
        <v/>
      </c>
      <c r="N4" s="345" t="str">
        <f>IF(F4&lt;&gt;0,INDEX(Perf.Sprint!$BJ$4:$BJ$40,MATCH(F4,Perf.Sprint!$B$4:$B$40,0)),"")</f>
        <v/>
      </c>
      <c r="O4" s="345" t="str">
        <f>IF(B4&lt;&gt;0,INDEX(Perf.Sprint!$BG$4:$BG$40,MATCH(B4,Perf.Sprint!$B$4:$B$40,0)),"")</f>
        <v/>
      </c>
      <c r="P4" s="346" t="str">
        <f t="shared" ref="P4:P29" si="3">IFERROR(SUM(O4+N4),"")</f>
        <v/>
      </c>
      <c r="Q4" s="347" t="str">
        <f t="shared" ref="Q4:Q29" si="4">IF(P4="","",ROUND($K$3/P4,1))</f>
        <v/>
      </c>
      <c r="R4" s="348" t="str">
        <f t="shared" ref="R4:R29" si="5">IF(P4="","",(Q4*3600)/1000)</f>
        <v/>
      </c>
      <c r="S4" s="349" t="str">
        <f t="shared" ref="S4:S29" si="6">IFERROR(AVERAGE(M4,R4),"")</f>
        <v/>
      </c>
      <c r="T4" s="350" t="str">
        <f t="shared" ref="T4:T29" si="7">IFERROR(AVERAGE(K4,P4),"")</f>
        <v/>
      </c>
      <c r="U4" s="351">
        <v>1</v>
      </c>
      <c r="V4" s="352" t="str">
        <f t="array" aca="1" ref="V4" ca="1">IFERROR(IF(ROWS($4:4)&lt;=COUNTA($A$4:$A$29),INDEX($A$4:$A$29,SMALL(IF($A$4:$A$29&lt;&gt;"",ROW(INDIRECT("1:"&amp;ROWS($A$4:$A$29)))),ROWS($4:4))),""),"")</f>
        <v>A</v>
      </c>
      <c r="W4" s="352" t="str">
        <f ca="1">IFERROR(INDEX($S$4:$S$29,MATCH($V4,$A$4:$A$29,0)),"")</f>
        <v/>
      </c>
      <c r="X4" s="352" t="str">
        <f ca="1">IF(W4&lt;&gt;"",$W$4:$W$29+ROW()/1000,"")</f>
        <v/>
      </c>
      <c r="Y4" s="351" t="str">
        <f ca="1">IFERROR(RANK($X4,$X$4:$X$29,0)+COUNTIF(X$4:X4,X4)-1,"")</f>
        <v/>
      </c>
      <c r="Z4" s="330"/>
      <c r="AA4" s="353" t="str">
        <f>IF(Liste!B3&lt;&gt;"",Liste!B3,"")</f>
        <v>A</v>
      </c>
      <c r="AB4" s="354">
        <f t="shared" ref="AB4:AB41" si="8">IF(AA4&lt;&gt;"",IF($AB$2="oui",0,COUNTIF($B$3:$F$23,AA4)),"")</f>
        <v>0</v>
      </c>
      <c r="AC4" s="330"/>
      <c r="AD4" s="355" t="str">
        <f t="shared" ref="AD4:AD29" ca="1" si="9">IFERROR(SMALL($Y$4:$Y$29,$U4),"")</f>
        <v/>
      </c>
      <c r="AE4" s="355" t="str">
        <f ca="1">IF(AD4&lt;&gt;"",INDEX($V$4:$V$29,MATCH($AD$4:$AD$29,$Y$4:$Y$29,0)),"")</f>
        <v/>
      </c>
      <c r="AF4" s="356" t="str">
        <f t="shared" ref="AF4:AF29" ca="1" si="10">IF(AD4&lt;&gt;"",(INDEX($B$4:$B$29,MATCH($AE4,$A$4:$A$29,0))),"")</f>
        <v/>
      </c>
      <c r="AG4" s="356" t="str">
        <f t="array" aca="1" ref="AG4" ca="1">IF(AF4&lt;&gt;"",INDEX(Perf.Sprint!$C$4:$C$41,MATCH(AF4,Perf.Sprint!$B$4:$B$41,0)),"")</f>
        <v/>
      </c>
      <c r="AH4" s="356" t="str">
        <f t="shared" ref="AH4:AH29" ca="1" si="11">IF(AD4&lt;&gt;"",(INDEX($F$4:$F$29,MATCH($AE4,$A$4:$A$29,0))),"")</f>
        <v/>
      </c>
      <c r="AI4" s="356" t="str">
        <f t="array" aca="1" ref="AI4" ca="1">IF(AH4&lt;&gt;"",INDEX(Perf.Sprint!$C$4:$C$41,MATCH(AH4,Perf.Sprint!$B$4:$B$41,0)),"")</f>
        <v/>
      </c>
      <c r="AJ4" s="357" t="str">
        <f t="shared" ref="AJ4:AJ29" ca="1" si="12">IFERROR(INDEX($W$4:$W$29,MATCH($AE4,$V$4:$V$29,0)),"")</f>
        <v/>
      </c>
      <c r="AK4" s="358" t="str">
        <f t="shared" ref="AK4:AK29" ca="1" si="13">IFERROR(INDEX($T$4:$T$29,MATCH($AE4,$V$4:$V$29,0)),"")</f>
        <v/>
      </c>
    </row>
    <row r="5" spans="1:37" ht="24" customHeight="1">
      <c r="A5" s="330" t="s">
        <v>150</v>
      </c>
      <c r="B5" s="359"/>
      <c r="C5" s="360" t="str">
        <f>IF(B5&lt;&gt;0,INDEX(Perf.Sprint!$C$4:$C$41,MATCH(B5,Perf.Sprint!$B$4:$B$41,0)),"")</f>
        <v/>
      </c>
      <c r="D5" s="361" t="str">
        <f t="array" ref="D5">IF(B5&lt;&gt;0,INDEX(Perf.Sprint!$AM$4:$AM$40,MATCH(B5,Perf.Sprint!$B$4:$B$40,0)),"")</f>
        <v/>
      </c>
      <c r="E5" s="343" t="s">
        <v>149</v>
      </c>
      <c r="F5" s="362"/>
      <c r="G5" s="360" t="str">
        <f>IF(F5&lt;&gt;0,INDEX(Perf.Sprint!$C$4:$C$41,MATCH(F5,Perf.Sprint!$B$4:$B$41,0)),"")</f>
        <v/>
      </c>
      <c r="H5" s="361" t="str">
        <f t="array" ref="H5">IF(F5&lt;&gt;0,INDEX(Perf.Sprint!$AM$4:$AM$40,MATCH(F5,Perf.Sprint!$B$4:$B$40,0)),"")</f>
        <v/>
      </c>
      <c r="I5" s="345" t="str">
        <f>IF(B5&lt;&gt;0,INDEX(Perf.Sprint!$BJ$4:$BJ$40,MATCH(B5,Perf.Sprint!$B$4:$B$40,0)),"")</f>
        <v/>
      </c>
      <c r="J5" s="345" t="str">
        <f>IF(F5&lt;&gt;0,INDEX(Perf.Sprint!$BG$4:$BG$40,MATCH(F5,Perf.Sprint!$B$4:$B$40,0)),"")</f>
        <v/>
      </c>
      <c r="K5" s="363" t="str">
        <f t="shared" si="0"/>
        <v/>
      </c>
      <c r="L5" s="364" t="str">
        <f t="shared" si="1"/>
        <v/>
      </c>
      <c r="M5" s="361" t="str">
        <f t="shared" si="2"/>
        <v/>
      </c>
      <c r="N5" s="345" t="str">
        <f>IF(F5&lt;&gt;0,INDEX(Perf.Sprint!$BJ$4:$BJ$40,MATCH(F5,Perf.Sprint!$B$4:$B$40,0)),"")</f>
        <v/>
      </c>
      <c r="O5" s="345" t="str">
        <f>IF(B5&lt;&gt;0,INDEX(Perf.Sprint!$BG$4:$BG$40,MATCH(B5,Perf.Sprint!$B$4:$B$40,0)),"")</f>
        <v/>
      </c>
      <c r="P5" s="363" t="str">
        <f t="shared" si="3"/>
        <v/>
      </c>
      <c r="Q5" s="364" t="str">
        <f t="shared" si="4"/>
        <v/>
      </c>
      <c r="R5" s="365" t="str">
        <f t="shared" si="5"/>
        <v/>
      </c>
      <c r="S5" s="349" t="str">
        <f t="shared" si="6"/>
        <v/>
      </c>
      <c r="T5" s="350" t="str">
        <f t="shared" si="7"/>
        <v/>
      </c>
      <c r="U5" s="351">
        <v>2</v>
      </c>
      <c r="V5" s="352" t="str">
        <f t="array" aca="1" ref="V5" ca="1">IFERROR(IF(ROWS($4:5)&lt;=COUNTA($A$4:$A$29),INDEX($A$4:$A$29,SMALL(IF($A$4:$A$29&lt;&gt;"",ROW(INDIRECT("1:"&amp;ROWS($A$4:$A$29)))),ROWS($4:5))),""),"")</f>
        <v>B</v>
      </c>
      <c r="W5" s="352" t="str">
        <f t="shared" ref="W5:W29" ca="1" si="14">IFERROR(INDEX($S$4:$S$29,MATCH($V5,$A$4:$A$29,0)),"")</f>
        <v/>
      </c>
      <c r="X5" s="352" t="str">
        <f t="shared" ref="X5:X29" ca="1" si="15">IF(W5&lt;&gt;"",$W$4:$W$29+ROW()/1000,"")</f>
        <v/>
      </c>
      <c r="Y5" s="351" t="str">
        <f ca="1">IFERROR(RANK($X5,$X$4:$X$29,0)+COUNTIF(X$4:X5,X5)-1,"")</f>
        <v/>
      </c>
      <c r="Z5" s="350"/>
      <c r="AA5" s="353" t="str">
        <f>IF(Liste!B4&lt;&gt;"",Liste!B4,"")</f>
        <v>B</v>
      </c>
      <c r="AB5" s="354">
        <f t="shared" si="8"/>
        <v>0</v>
      </c>
      <c r="AC5" s="350"/>
      <c r="AD5" s="366" t="str">
        <f t="shared" ca="1" si="9"/>
        <v/>
      </c>
      <c r="AE5" s="366" t="str">
        <f ca="1">IF(AD5&lt;&gt;"",INDEX($V$4:$V$29,MATCH($AD$4:$AD$29,$Y$4:$Y$29,0)),"")</f>
        <v/>
      </c>
      <c r="AF5" s="367" t="str">
        <f t="shared" ca="1" si="10"/>
        <v/>
      </c>
      <c r="AG5" s="367" t="str">
        <f t="array" aca="1" ref="AG5" ca="1">IF(AF5&lt;&gt;"",INDEX(Perf.Sprint!$C$4:$C$41,MATCH(AF5,Perf.Sprint!$B$4:$B$41,0)),"")</f>
        <v/>
      </c>
      <c r="AH5" s="367" t="str">
        <f t="shared" ca="1" si="11"/>
        <v/>
      </c>
      <c r="AI5" s="367" t="str">
        <f t="array" aca="1" ref="AI5" ca="1">IF(AH5&lt;&gt;"",INDEX(Perf.Sprint!$C$4:$C$41,MATCH(AH5,Perf.Sprint!$B$4:$B$41,0)),"")</f>
        <v/>
      </c>
      <c r="AJ5" s="368" t="str">
        <f t="shared" ca="1" si="12"/>
        <v/>
      </c>
      <c r="AK5" s="369" t="str">
        <f t="shared" ca="1" si="13"/>
        <v/>
      </c>
    </row>
    <row r="6" spans="1:37" ht="24" customHeight="1">
      <c r="A6" s="330" t="s">
        <v>151</v>
      </c>
      <c r="B6" s="340"/>
      <c r="C6" s="341" t="str">
        <f>IF(B6&lt;&gt;0,INDEX(Perf.Sprint!$C$4:$C$41,MATCH(B6,Perf.Sprint!$B$4:$B$41,0)),"")</f>
        <v/>
      </c>
      <c r="D6" s="342" t="str">
        <f t="array" ref="D6">IF(B6&lt;&gt;0,INDEX(Perf.Sprint!$AM$4:$AM$40,MATCH(B6,Perf.Sprint!$B$4:$B$40,0)),"")</f>
        <v/>
      </c>
      <c r="E6" s="343" t="s">
        <v>149</v>
      </c>
      <c r="F6" s="344"/>
      <c r="G6" s="341" t="str">
        <f>IF(F6&lt;&gt;0,INDEX(Perf.Sprint!$C$4:$C$41,MATCH(F6,Perf.Sprint!$B$4:$B$41,0)),"")</f>
        <v/>
      </c>
      <c r="H6" s="342" t="str">
        <f t="array" ref="H6">IF(F6&lt;&gt;0,INDEX(Perf.Sprint!$AM$4:$AM$40,MATCH(F6,Perf.Sprint!$B$4:$B$40,0)),"")</f>
        <v/>
      </c>
      <c r="I6" s="345" t="str">
        <f>IF(B6&lt;&gt;0,INDEX(Perf.Sprint!$BJ$4:$BJ$40,MATCH(B6,Perf.Sprint!$B$4:$B$40,0)),"")</f>
        <v/>
      </c>
      <c r="J6" s="345" t="str">
        <f>IF(F6&lt;&gt;0,INDEX(Perf.Sprint!$BG$4:$BG$40,MATCH(F6,Perf.Sprint!$B$4:$B$40,0)),"")</f>
        <v/>
      </c>
      <c r="K6" s="346" t="str">
        <f t="shared" si="0"/>
        <v/>
      </c>
      <c r="L6" s="347" t="str">
        <f t="shared" si="1"/>
        <v/>
      </c>
      <c r="M6" s="342" t="str">
        <f t="shared" si="2"/>
        <v/>
      </c>
      <c r="N6" s="345" t="str">
        <f>IF(F6&lt;&gt;0,INDEX(Perf.Sprint!$BJ$4:$BJ$40,MATCH(F6,Perf.Sprint!$B$4:$B$40,0)),"")</f>
        <v/>
      </c>
      <c r="O6" s="345" t="str">
        <f>IF(B6&lt;&gt;0,INDEX(Perf.Sprint!$BG$4:$BG$40,MATCH(B6,Perf.Sprint!$B$4:$B$40,0)),"")</f>
        <v/>
      </c>
      <c r="P6" s="346" t="str">
        <f t="shared" si="3"/>
        <v/>
      </c>
      <c r="Q6" s="347" t="str">
        <f t="shared" si="4"/>
        <v/>
      </c>
      <c r="R6" s="348" t="str">
        <f t="shared" si="5"/>
        <v/>
      </c>
      <c r="S6" s="349" t="str">
        <f t="shared" si="6"/>
        <v/>
      </c>
      <c r="T6" s="350" t="str">
        <f t="shared" si="7"/>
        <v/>
      </c>
      <c r="U6" s="351">
        <v>3</v>
      </c>
      <c r="V6" s="352" t="str">
        <f t="array" aca="1" ref="V6" ca="1">IFERROR(IF(ROWS($4:6)&lt;=COUNTA($A$4:$A$29),INDEX($A$4:$A$29,SMALL(IF($A$4:$A$29&lt;&gt;"",ROW(INDIRECT("1:"&amp;ROWS($A$4:$A$29)))),ROWS($4:6))),""),"")</f>
        <v>C</v>
      </c>
      <c r="W6" s="352" t="str">
        <f t="shared" ca="1" si="14"/>
        <v/>
      </c>
      <c r="X6" s="352" t="str">
        <f t="shared" ca="1" si="15"/>
        <v/>
      </c>
      <c r="Y6" s="351" t="str">
        <f ca="1">IFERROR(RANK($X6,$X$4:$X$29,0)+COUNTIF(X$4:X6,X6)-1,"")</f>
        <v/>
      </c>
      <c r="Z6" s="350"/>
      <c r="AA6" s="353" t="str">
        <f>IF(Liste!B5&lt;&gt;"",Liste!B5,"")</f>
        <v>C</v>
      </c>
      <c r="AB6" s="354">
        <f t="shared" si="8"/>
        <v>0</v>
      </c>
      <c r="AC6" s="350"/>
      <c r="AD6" s="355" t="str">
        <f t="shared" ca="1" si="9"/>
        <v/>
      </c>
      <c r="AE6" s="355" t="str">
        <f t="shared" ref="AE6:AE29" ca="1" si="16">IF(AD6&lt;&gt;"",INDEX($V$4:$V$29,MATCH($AD$4:$AD$29,$Y$4:$Y$29,0)),"")</f>
        <v/>
      </c>
      <c r="AF6" s="356" t="str">
        <f t="shared" ca="1" si="10"/>
        <v/>
      </c>
      <c r="AG6" s="356" t="str">
        <f t="array" aca="1" ref="AG6" ca="1">IF(AF6&lt;&gt;"",INDEX(Perf.Sprint!$C$4:$C$41,MATCH(AF6,Perf.Sprint!$B$4:$B$41,0)),"")</f>
        <v/>
      </c>
      <c r="AH6" s="356" t="str">
        <f t="shared" ca="1" si="11"/>
        <v/>
      </c>
      <c r="AI6" s="356" t="str">
        <f t="array" aca="1" ref="AI6" ca="1">IF(AH6&lt;&gt;"",INDEX(Perf.Sprint!$C$4:$C$41,MATCH(AH6,Perf.Sprint!$B$4:$B$41,0)),"")</f>
        <v/>
      </c>
      <c r="AJ6" s="357" t="str">
        <f t="shared" ca="1" si="12"/>
        <v/>
      </c>
      <c r="AK6" s="358" t="str">
        <f t="shared" ca="1" si="13"/>
        <v/>
      </c>
    </row>
    <row r="7" spans="1:37" ht="24" customHeight="1">
      <c r="A7" s="330" t="s">
        <v>152</v>
      </c>
      <c r="B7" s="359"/>
      <c r="C7" s="360" t="str">
        <f>IF(B7&lt;&gt;0,INDEX(Perf.Sprint!$C$4:$C$41,MATCH(B7,Perf.Sprint!$B$4:$B$41,0)),"")</f>
        <v/>
      </c>
      <c r="D7" s="361" t="str">
        <f t="array" ref="D7">IF(B7&lt;&gt;0,INDEX(Perf.Sprint!$AM$4:$AM$40,MATCH(B7,Perf.Sprint!$B$4:$B$40,0)),"")</f>
        <v/>
      </c>
      <c r="E7" s="343" t="s">
        <v>149</v>
      </c>
      <c r="F7" s="362"/>
      <c r="G7" s="360" t="str">
        <f>IF(F7&lt;&gt;0,INDEX(Perf.Sprint!$C$4:$C$41,MATCH(F7,Perf.Sprint!$B$4:$B$41,0)),"")</f>
        <v/>
      </c>
      <c r="H7" s="361" t="str">
        <f t="array" ref="H7">IF(F7&lt;&gt;0,INDEX(Perf.Sprint!$AM$4:$AM$40,MATCH(F7,Perf.Sprint!$B$4:$B$40,0)),"")</f>
        <v/>
      </c>
      <c r="I7" s="345" t="str">
        <f>IF(B7&lt;&gt;0,INDEX(Perf.Sprint!$BJ$4:$BJ$40,MATCH(B7,Perf.Sprint!$B$4:$B$40,0)),"")</f>
        <v/>
      </c>
      <c r="J7" s="345" t="str">
        <f>IF(F7&lt;&gt;0,INDEX(Perf.Sprint!$BG$4:$BG$40,MATCH(F7,Perf.Sprint!$B$4:$B$40,0)),"")</f>
        <v/>
      </c>
      <c r="K7" s="363" t="str">
        <f t="shared" si="0"/>
        <v/>
      </c>
      <c r="L7" s="364" t="str">
        <f t="shared" si="1"/>
        <v/>
      </c>
      <c r="M7" s="361" t="str">
        <f t="shared" si="2"/>
        <v/>
      </c>
      <c r="N7" s="345" t="str">
        <f>IF(F7&lt;&gt;0,INDEX(Perf.Sprint!$BJ$4:$BJ$40,MATCH(F7,Perf.Sprint!$B$4:$B$40,0)),"")</f>
        <v/>
      </c>
      <c r="O7" s="345" t="str">
        <f>IF(B7&lt;&gt;0,INDEX(Perf.Sprint!$BG$4:$BG$40,MATCH(B7,Perf.Sprint!$B$4:$B$40,0)),"")</f>
        <v/>
      </c>
      <c r="P7" s="363" t="str">
        <f t="shared" si="3"/>
        <v/>
      </c>
      <c r="Q7" s="364" t="str">
        <f t="shared" si="4"/>
        <v/>
      </c>
      <c r="R7" s="365" t="str">
        <f t="shared" si="5"/>
        <v/>
      </c>
      <c r="S7" s="349" t="str">
        <f t="shared" si="6"/>
        <v/>
      </c>
      <c r="T7" s="350" t="str">
        <f t="shared" si="7"/>
        <v/>
      </c>
      <c r="U7" s="351">
        <v>4</v>
      </c>
      <c r="V7" s="352" t="str">
        <f t="array" aca="1" ref="V7" ca="1">IFERROR(IF(ROWS($4:7)&lt;=COUNTA($A$4:$A$29),INDEX($A$4:$A$29,SMALL(IF($A$4:$A$29&lt;&gt;"",ROW(INDIRECT("1:"&amp;ROWS($A$4:$A$29)))),ROWS($4:7))),""),"")</f>
        <v>D</v>
      </c>
      <c r="W7" s="352" t="str">
        <f t="shared" ca="1" si="14"/>
        <v/>
      </c>
      <c r="X7" s="352" t="str">
        <f t="shared" ca="1" si="15"/>
        <v/>
      </c>
      <c r="Y7" s="351" t="str">
        <f ca="1">IFERROR(RANK($X7,$X$4:$X$29,0)+COUNTIF(X$4:X7,X7)-1,"")</f>
        <v/>
      </c>
      <c r="Z7" s="330"/>
      <c r="AA7" s="353" t="str">
        <f>IF(Liste!B6&lt;&gt;"",Liste!B6,"")</f>
        <v>D</v>
      </c>
      <c r="AB7" s="354">
        <f t="shared" si="8"/>
        <v>0</v>
      </c>
      <c r="AC7" s="330"/>
      <c r="AD7" s="366" t="str">
        <f t="shared" ca="1" si="9"/>
        <v/>
      </c>
      <c r="AE7" s="366" t="str">
        <f t="shared" ca="1" si="16"/>
        <v/>
      </c>
      <c r="AF7" s="367" t="str">
        <f t="shared" ca="1" si="10"/>
        <v/>
      </c>
      <c r="AG7" s="367" t="str">
        <f t="array" aca="1" ref="AG7" ca="1">IF(AF7&lt;&gt;"",INDEX(Perf.Sprint!$C$4:$C$41,MATCH(AF7,Perf.Sprint!$B$4:$B$41,0)),"")</f>
        <v/>
      </c>
      <c r="AH7" s="367" t="str">
        <f t="shared" ca="1" si="11"/>
        <v/>
      </c>
      <c r="AI7" s="367" t="str">
        <f t="array" aca="1" ref="AI7" ca="1">IF(AH7&lt;&gt;"",INDEX(Perf.Sprint!$C$4:$C$41,MATCH(AH7,Perf.Sprint!$B$4:$B$41,0)),"")</f>
        <v/>
      </c>
      <c r="AJ7" s="368" t="str">
        <f t="shared" ca="1" si="12"/>
        <v/>
      </c>
      <c r="AK7" s="369" t="str">
        <f t="shared" ca="1" si="13"/>
        <v/>
      </c>
    </row>
    <row r="8" spans="1:37" ht="24" customHeight="1">
      <c r="A8" s="330" t="s">
        <v>153</v>
      </c>
      <c r="B8" s="340"/>
      <c r="C8" s="341" t="str">
        <f>IF(B8&lt;&gt;0,INDEX(Perf.Sprint!$C$4:$C$41,MATCH(B8,Perf.Sprint!$B$4:$B$41,0)),"")</f>
        <v/>
      </c>
      <c r="D8" s="342" t="str">
        <f t="array" ref="D8">IF(B8&lt;&gt;0,INDEX(Perf.Sprint!$AM$4:$AM$40,MATCH(B8,Perf.Sprint!$B$4:$B$40,0)),"")</f>
        <v/>
      </c>
      <c r="E8" s="343" t="s">
        <v>149</v>
      </c>
      <c r="F8" s="344"/>
      <c r="G8" s="341" t="str">
        <f>IF(F8&lt;&gt;0,INDEX(Perf.Sprint!$C$4:$C$41,MATCH(F8,Perf.Sprint!$B$4:$B$41,0)),"")</f>
        <v/>
      </c>
      <c r="H8" s="342" t="str">
        <f t="array" ref="H8">IF(F8&lt;&gt;0,INDEX(Perf.Sprint!$AM$4:$AM$40,MATCH(F8,Perf.Sprint!$B$4:$B$40,0)),"")</f>
        <v/>
      </c>
      <c r="I8" s="345" t="str">
        <f>IF(B8&lt;&gt;0,INDEX(Perf.Sprint!$BJ$4:$BJ$40,MATCH(B8,Perf.Sprint!$B$4:$B$40,0)),"")</f>
        <v/>
      </c>
      <c r="J8" s="345" t="str">
        <f>IF(F8&lt;&gt;0,INDEX(Perf.Sprint!$BG$4:$BG$40,MATCH(F8,Perf.Sprint!$B$4:$B$40,0)),"")</f>
        <v/>
      </c>
      <c r="K8" s="346" t="str">
        <f t="shared" si="0"/>
        <v/>
      </c>
      <c r="L8" s="347" t="str">
        <f t="shared" si="1"/>
        <v/>
      </c>
      <c r="M8" s="342" t="str">
        <f t="shared" si="2"/>
        <v/>
      </c>
      <c r="N8" s="345" t="str">
        <f>IF(F8&lt;&gt;0,INDEX(Perf.Sprint!$BJ$4:$BJ$40,MATCH(F8,Perf.Sprint!$B$4:$B$40,0)),"")</f>
        <v/>
      </c>
      <c r="O8" s="345" t="str">
        <f>IF(B8&lt;&gt;0,INDEX(Perf.Sprint!$BG$4:$BG$40,MATCH(B8,Perf.Sprint!$B$4:$B$40,0)),"")</f>
        <v/>
      </c>
      <c r="P8" s="346" t="str">
        <f t="shared" si="3"/>
        <v/>
      </c>
      <c r="Q8" s="347" t="str">
        <f t="shared" si="4"/>
        <v/>
      </c>
      <c r="R8" s="348" t="str">
        <f t="shared" si="5"/>
        <v/>
      </c>
      <c r="S8" s="349" t="str">
        <f t="shared" si="6"/>
        <v/>
      </c>
      <c r="T8" s="350" t="str">
        <f t="shared" si="7"/>
        <v/>
      </c>
      <c r="U8" s="351">
        <v>5</v>
      </c>
      <c r="V8" s="352" t="str">
        <f t="array" aca="1" ref="V8" ca="1">IFERROR(IF(ROWS($4:8)&lt;=COUNTA($A$4:$A$29),INDEX($A$4:$A$29,SMALL(IF($A$4:$A$29&lt;&gt;"",ROW(INDIRECT("1:"&amp;ROWS($A$4:$A$29)))),ROWS($4:8))),""),"")</f>
        <v>E</v>
      </c>
      <c r="W8" s="352" t="str">
        <f t="shared" ca="1" si="14"/>
        <v/>
      </c>
      <c r="X8" s="352" t="str">
        <f t="shared" ca="1" si="15"/>
        <v/>
      </c>
      <c r="Y8" s="351" t="str">
        <f ca="1">IFERROR(RANK($X8,$X$4:$X$29,0)+COUNTIF(X$4:X8,X8)-1,"")</f>
        <v/>
      </c>
      <c r="Z8" s="350"/>
      <c r="AA8" s="353" t="str">
        <f>IF(Liste!B7&lt;&gt;"",Liste!B7,"")</f>
        <v>E</v>
      </c>
      <c r="AB8" s="354">
        <f t="shared" si="8"/>
        <v>0</v>
      </c>
      <c r="AC8" s="350"/>
      <c r="AD8" s="355" t="str">
        <f t="shared" ca="1" si="9"/>
        <v/>
      </c>
      <c r="AE8" s="355" t="str">
        <f t="shared" ca="1" si="16"/>
        <v/>
      </c>
      <c r="AF8" s="356" t="str">
        <f t="shared" ca="1" si="10"/>
        <v/>
      </c>
      <c r="AG8" s="356" t="str">
        <f t="array" aca="1" ref="AG8" ca="1">IF(AF8&lt;&gt;"",INDEX(Perf.Sprint!$C$4:$C$41,MATCH(AF8,Perf.Sprint!$B$4:$B$41,0)),"")</f>
        <v/>
      </c>
      <c r="AH8" s="356" t="str">
        <f t="shared" ca="1" si="11"/>
        <v/>
      </c>
      <c r="AI8" s="356" t="str">
        <f t="array" aca="1" ref="AI8" ca="1">IF(AH8&lt;&gt;"",INDEX(Perf.Sprint!$C$4:$C$41,MATCH(AH8,Perf.Sprint!$B$4:$B$41,0)),"")</f>
        <v/>
      </c>
      <c r="AJ8" s="357" t="str">
        <f t="shared" ca="1" si="12"/>
        <v/>
      </c>
      <c r="AK8" s="358" t="str">
        <f t="shared" ca="1" si="13"/>
        <v/>
      </c>
    </row>
    <row r="9" spans="1:37" ht="24" customHeight="1">
      <c r="A9" s="330" t="s">
        <v>8</v>
      </c>
      <c r="B9" s="359"/>
      <c r="C9" s="360" t="str">
        <f>IF(B9&lt;&gt;0,INDEX(Perf.Sprint!$C$4:$C$41,MATCH(B9,Perf.Sprint!$B$4:$B$41,0)),"")</f>
        <v/>
      </c>
      <c r="D9" s="361" t="str">
        <f t="array" ref="D9">IF(B9&lt;&gt;0,INDEX(Perf.Sprint!$AM$4:$AM$40,MATCH(B9,Perf.Sprint!$B$4:$B$40,0)),"")</f>
        <v/>
      </c>
      <c r="E9" s="343" t="s">
        <v>149</v>
      </c>
      <c r="F9" s="362"/>
      <c r="G9" s="360" t="str">
        <f>IF(F9&lt;&gt;0,INDEX(Perf.Sprint!$C$4:$C$41,MATCH(F9,Perf.Sprint!$B$4:$B$41,0)),"")</f>
        <v/>
      </c>
      <c r="H9" s="361" t="str">
        <f t="array" ref="H9">IF(F9&lt;&gt;0,INDEX(Perf.Sprint!$AM$4:$AM$40,MATCH(F9,Perf.Sprint!$B$4:$B$40,0)),"")</f>
        <v/>
      </c>
      <c r="I9" s="345" t="str">
        <f>IF(B9&lt;&gt;0,INDEX(Perf.Sprint!$BJ$4:$BJ$40,MATCH(B9,Perf.Sprint!$B$4:$B$40,0)),"")</f>
        <v/>
      </c>
      <c r="J9" s="345" t="str">
        <f>IF(F9&lt;&gt;0,INDEX(Perf.Sprint!$BG$4:$BG$40,MATCH(F9,Perf.Sprint!$B$4:$B$40,0)),"")</f>
        <v/>
      </c>
      <c r="K9" s="363" t="str">
        <f t="shared" si="0"/>
        <v/>
      </c>
      <c r="L9" s="364" t="str">
        <f t="shared" si="1"/>
        <v/>
      </c>
      <c r="M9" s="361" t="str">
        <f t="shared" si="2"/>
        <v/>
      </c>
      <c r="N9" s="345" t="str">
        <f>IF(F9&lt;&gt;0,INDEX(Perf.Sprint!$BJ$4:$BJ$40,MATCH(F9,Perf.Sprint!$B$4:$B$40,0)),"")</f>
        <v/>
      </c>
      <c r="O9" s="345" t="str">
        <f>IF(B9&lt;&gt;0,INDEX(Perf.Sprint!$BG$4:$BG$40,MATCH(B9,Perf.Sprint!$B$4:$B$40,0)),"")</f>
        <v/>
      </c>
      <c r="P9" s="363" t="str">
        <f t="shared" si="3"/>
        <v/>
      </c>
      <c r="Q9" s="364" t="str">
        <f t="shared" si="4"/>
        <v/>
      </c>
      <c r="R9" s="365" t="str">
        <f t="shared" si="5"/>
        <v/>
      </c>
      <c r="S9" s="349" t="str">
        <f t="shared" si="6"/>
        <v/>
      </c>
      <c r="T9" s="350" t="str">
        <f t="shared" si="7"/>
        <v/>
      </c>
      <c r="U9" s="351">
        <v>6</v>
      </c>
      <c r="V9" s="352" t="str">
        <f t="array" aca="1" ref="V9" ca="1">IFERROR(IF(ROWS($4:9)&lt;=COUNTA($A$4:$A$29),INDEX($A$4:$A$29,SMALL(IF($A$4:$A$29&lt;&gt;"",ROW(INDIRECT("1:"&amp;ROWS($A$4:$A$29)))),ROWS($4:9))),""),"")</f>
        <v>F</v>
      </c>
      <c r="W9" s="352" t="str">
        <f t="shared" ca="1" si="14"/>
        <v/>
      </c>
      <c r="X9" s="352" t="str">
        <f t="shared" ca="1" si="15"/>
        <v/>
      </c>
      <c r="Y9" s="351" t="str">
        <f ca="1">IFERROR(RANK($X9,$X$4:$X$29,0)+COUNTIF(X$4:X9,X9)-1,"")</f>
        <v/>
      </c>
      <c r="Z9" s="350"/>
      <c r="AA9" s="353" t="str">
        <f>IF(Liste!B8&lt;&gt;"",Liste!B8,"")</f>
        <v>F</v>
      </c>
      <c r="AB9" s="354">
        <f t="shared" si="8"/>
        <v>0</v>
      </c>
      <c r="AC9" s="350"/>
      <c r="AD9" s="366" t="str">
        <f t="shared" ca="1" si="9"/>
        <v/>
      </c>
      <c r="AE9" s="366" t="str">
        <f t="shared" ca="1" si="16"/>
        <v/>
      </c>
      <c r="AF9" s="367" t="str">
        <f t="shared" ca="1" si="10"/>
        <v/>
      </c>
      <c r="AG9" s="367" t="str">
        <f t="array" aca="1" ref="AG9" ca="1">IF(AF9&lt;&gt;"",INDEX(Perf.Sprint!$C$4:$C$41,MATCH(AF9,Perf.Sprint!$B$4:$B$41,0)),"")</f>
        <v/>
      </c>
      <c r="AH9" s="367" t="str">
        <f t="shared" ca="1" si="11"/>
        <v/>
      </c>
      <c r="AI9" s="367" t="str">
        <f t="array" aca="1" ref="AI9" ca="1">IF(AH9&lt;&gt;"",INDEX(Perf.Sprint!$C$4:$C$41,MATCH(AH9,Perf.Sprint!$B$4:$B$41,0)),"")</f>
        <v/>
      </c>
      <c r="AJ9" s="368" t="str">
        <f t="shared" ca="1" si="12"/>
        <v/>
      </c>
      <c r="AK9" s="369" t="str">
        <f t="shared" ca="1" si="13"/>
        <v/>
      </c>
    </row>
    <row r="10" spans="1:37" ht="24" customHeight="1">
      <c r="A10" s="330" t="s">
        <v>18</v>
      </c>
      <c r="B10" s="340"/>
      <c r="C10" s="341" t="str">
        <f>IF(B10&lt;&gt;0,INDEX(Perf.Sprint!$C$4:$C$41,MATCH(B10,Perf.Sprint!$B$4:$B$41,0)),"")</f>
        <v/>
      </c>
      <c r="D10" s="342" t="str">
        <f t="array" ref="D10">IF(B10&lt;&gt;0,INDEX(Perf.Sprint!$AM$4:$AM$40,MATCH(B10,Perf.Sprint!$B$4:$B$40,0)),"")</f>
        <v/>
      </c>
      <c r="E10" s="343" t="s">
        <v>149</v>
      </c>
      <c r="F10" s="344"/>
      <c r="G10" s="341" t="str">
        <f>IF(F10&lt;&gt;0,INDEX(Perf.Sprint!$C$4:$C$41,MATCH(F10,Perf.Sprint!$B$4:$B$41,0)),"")</f>
        <v/>
      </c>
      <c r="H10" s="342" t="str">
        <f t="array" ref="H10">IF(F10&lt;&gt;0,INDEX(Perf.Sprint!$AM$4:$AM$40,MATCH(F10,Perf.Sprint!$B$4:$B$40,0)),"")</f>
        <v/>
      </c>
      <c r="I10" s="345" t="str">
        <f>IF(B10&lt;&gt;0,INDEX(Perf.Sprint!$BJ$4:$BJ$40,MATCH(B10,Perf.Sprint!$B$4:$B$40,0)),"")</f>
        <v/>
      </c>
      <c r="J10" s="345" t="str">
        <f>IF(F10&lt;&gt;0,INDEX(Perf.Sprint!$BG$4:$BG$40,MATCH(F10,Perf.Sprint!$B$4:$B$40,0)),"")</f>
        <v/>
      </c>
      <c r="K10" s="346" t="str">
        <f t="shared" si="0"/>
        <v/>
      </c>
      <c r="L10" s="347" t="str">
        <f t="shared" si="1"/>
        <v/>
      </c>
      <c r="M10" s="342" t="str">
        <f t="shared" si="2"/>
        <v/>
      </c>
      <c r="N10" s="345" t="str">
        <f>IF(F10&lt;&gt;0,INDEX(Perf.Sprint!$BJ$4:$BJ$40,MATCH(F10,Perf.Sprint!$B$4:$B$40,0)),"")</f>
        <v/>
      </c>
      <c r="O10" s="345" t="str">
        <f>IF(B10&lt;&gt;0,INDEX(Perf.Sprint!$BG$4:$BG$40,MATCH(B10,Perf.Sprint!$B$4:$B$40,0)),"")</f>
        <v/>
      </c>
      <c r="P10" s="346" t="str">
        <f t="shared" si="3"/>
        <v/>
      </c>
      <c r="Q10" s="347" t="str">
        <f t="shared" si="4"/>
        <v/>
      </c>
      <c r="R10" s="348" t="str">
        <f t="shared" si="5"/>
        <v/>
      </c>
      <c r="S10" s="349" t="str">
        <f t="shared" si="6"/>
        <v/>
      </c>
      <c r="T10" s="350" t="str">
        <f t="shared" si="7"/>
        <v/>
      </c>
      <c r="U10" s="351">
        <v>7</v>
      </c>
      <c r="V10" s="352" t="str">
        <f t="array" aca="1" ref="V10" ca="1">IFERROR(IF(ROWS($4:10)&lt;=COUNTA($A$4:$A$29),INDEX($A$4:$A$29,SMALL(IF($A$4:$A$29&lt;&gt;"",ROW(INDIRECT("1:"&amp;ROWS($A$4:$A$29)))),ROWS($4:10))),""),"")</f>
        <v>G</v>
      </c>
      <c r="W10" s="352" t="str">
        <f t="shared" ca="1" si="14"/>
        <v/>
      </c>
      <c r="X10" s="352" t="str">
        <f t="shared" ca="1" si="15"/>
        <v/>
      </c>
      <c r="Y10" s="351" t="str">
        <f ca="1">IFERROR(RANK($X10,$X$4:$X$29,0)+COUNTIF(X$4:X10,X10)-1,"")</f>
        <v/>
      </c>
      <c r="Z10" s="330"/>
      <c r="AA10" s="353" t="str">
        <f>IF(Liste!B9&lt;&gt;"",Liste!B9,"")</f>
        <v>G</v>
      </c>
      <c r="AB10" s="354">
        <f t="shared" si="8"/>
        <v>0</v>
      </c>
      <c r="AC10" s="330"/>
      <c r="AD10" s="355" t="str">
        <f t="shared" ca="1" si="9"/>
        <v/>
      </c>
      <c r="AE10" s="355" t="str">
        <f t="shared" ca="1" si="16"/>
        <v/>
      </c>
      <c r="AF10" s="356" t="str">
        <f t="shared" ca="1" si="10"/>
        <v/>
      </c>
      <c r="AG10" s="356" t="str">
        <f t="array" aca="1" ref="AG10" ca="1">IF(AF10&lt;&gt;"",INDEX(Perf.Sprint!$C$4:$C$41,MATCH(AF10,Perf.Sprint!$B$4:$B$41,0)),"")</f>
        <v/>
      </c>
      <c r="AH10" s="356" t="str">
        <f t="shared" ca="1" si="11"/>
        <v/>
      </c>
      <c r="AI10" s="356" t="str">
        <f t="array" aca="1" ref="AI10" ca="1">IF(AH10&lt;&gt;"",INDEX(Perf.Sprint!$C$4:$C$41,MATCH(AH10,Perf.Sprint!$B$4:$B$41,0)),"")</f>
        <v/>
      </c>
      <c r="AJ10" s="357" t="str">
        <f t="shared" ca="1" si="12"/>
        <v/>
      </c>
      <c r="AK10" s="358" t="str">
        <f t="shared" ca="1" si="13"/>
        <v/>
      </c>
    </row>
    <row r="11" spans="1:37" ht="24" customHeight="1">
      <c r="A11" s="330" t="s">
        <v>154</v>
      </c>
      <c r="B11" s="359"/>
      <c r="C11" s="360" t="str">
        <f>IF(B11&lt;&gt;0,INDEX(Perf.Sprint!$C$4:$C$41,MATCH(B11,Perf.Sprint!$B$4:$B$41,0)),"")</f>
        <v/>
      </c>
      <c r="D11" s="361" t="str">
        <f t="array" ref="D11">IF(B11&lt;&gt;0,INDEX(Perf.Sprint!$AM$4:$AM$40,MATCH(B11,Perf.Sprint!$B$4:$B$40,0)),"")</f>
        <v/>
      </c>
      <c r="E11" s="343" t="s">
        <v>149</v>
      </c>
      <c r="F11" s="362"/>
      <c r="G11" s="360" t="str">
        <f>IF(F11&lt;&gt;0,INDEX(Perf.Sprint!$C$4:$C$41,MATCH(F11,Perf.Sprint!$B$4:$B$41,0)),"")</f>
        <v/>
      </c>
      <c r="H11" s="361" t="str">
        <f t="array" ref="H11">IF(F11&lt;&gt;0,INDEX(Perf.Sprint!$AM$4:$AM$40,MATCH(F11,Perf.Sprint!$B$4:$B$40,0)),"")</f>
        <v/>
      </c>
      <c r="I11" s="345" t="str">
        <f>IF(B11&lt;&gt;0,INDEX(Perf.Sprint!$BJ$4:$BJ$40,MATCH(B11,Perf.Sprint!$B$4:$B$40,0)),"")</f>
        <v/>
      </c>
      <c r="J11" s="345" t="str">
        <f>IF(F11&lt;&gt;0,INDEX(Perf.Sprint!$BG$4:$BG$40,MATCH(F11,Perf.Sprint!$B$4:$B$40,0)),"")</f>
        <v/>
      </c>
      <c r="K11" s="363" t="str">
        <f t="shared" si="0"/>
        <v/>
      </c>
      <c r="L11" s="364" t="str">
        <f t="shared" si="1"/>
        <v/>
      </c>
      <c r="M11" s="361" t="str">
        <f t="shared" si="2"/>
        <v/>
      </c>
      <c r="N11" s="345" t="str">
        <f>IF(F11&lt;&gt;0,INDEX(Perf.Sprint!$BJ$4:$BJ$40,MATCH(F11,Perf.Sprint!$B$4:$B$40,0)),"")</f>
        <v/>
      </c>
      <c r="O11" s="345" t="str">
        <f>IF(B11&lt;&gt;0,INDEX(Perf.Sprint!$BG$4:$BG$40,MATCH(B11,Perf.Sprint!$B$4:$B$40,0)),"")</f>
        <v/>
      </c>
      <c r="P11" s="363" t="str">
        <f t="shared" si="3"/>
        <v/>
      </c>
      <c r="Q11" s="364" t="str">
        <f t="shared" si="4"/>
        <v/>
      </c>
      <c r="R11" s="365" t="str">
        <f t="shared" si="5"/>
        <v/>
      </c>
      <c r="S11" s="349" t="str">
        <f t="shared" si="6"/>
        <v/>
      </c>
      <c r="T11" s="350" t="str">
        <f t="shared" si="7"/>
        <v/>
      </c>
      <c r="U11" s="351">
        <v>8</v>
      </c>
      <c r="V11" s="352" t="str">
        <f t="array" aca="1" ref="V11" ca="1">IFERROR(IF(ROWS($4:11)&lt;=COUNTA($A$4:$A$29),INDEX($A$4:$A$29,SMALL(IF($A$4:$A$29&lt;&gt;"",ROW(INDIRECT("1:"&amp;ROWS($A$4:$A$29)))),ROWS($4:11))),""),"")</f>
        <v>H</v>
      </c>
      <c r="W11" s="352" t="str">
        <f t="shared" ca="1" si="14"/>
        <v/>
      </c>
      <c r="X11" s="352" t="str">
        <f t="shared" ca="1" si="15"/>
        <v/>
      </c>
      <c r="Y11" s="351" t="str">
        <f ca="1">IFERROR(RANK($X11,$X$4:$X$29,0)+COUNTIF(X$4:X11,X11)-1,"")</f>
        <v/>
      </c>
      <c r="Z11" s="350"/>
      <c r="AA11" s="353" t="str">
        <f>IF(Liste!B10&lt;&gt;"",Liste!B10,"")</f>
        <v>H</v>
      </c>
      <c r="AB11" s="354">
        <f t="shared" si="8"/>
        <v>0</v>
      </c>
      <c r="AC11" s="350"/>
      <c r="AD11" s="366" t="str">
        <f t="shared" ca="1" si="9"/>
        <v/>
      </c>
      <c r="AE11" s="366" t="str">
        <f t="shared" ca="1" si="16"/>
        <v/>
      </c>
      <c r="AF11" s="367" t="str">
        <f t="shared" ca="1" si="10"/>
        <v/>
      </c>
      <c r="AG11" s="367" t="str">
        <f t="array" aca="1" ref="AG11" ca="1">IF(AF11&lt;&gt;"",INDEX(Perf.Sprint!$C$4:$C$41,MATCH(AF11,Perf.Sprint!$B$4:$B$41,0)),"")</f>
        <v/>
      </c>
      <c r="AH11" s="367" t="str">
        <f t="shared" ca="1" si="11"/>
        <v/>
      </c>
      <c r="AI11" s="367" t="str">
        <f t="array" aca="1" ref="AI11" ca="1">IF(AH11&lt;&gt;"",INDEX(Perf.Sprint!$C$4:$C$41,MATCH(AH11,Perf.Sprint!$B$4:$B$41,0)),"")</f>
        <v/>
      </c>
      <c r="AJ11" s="368" t="str">
        <f t="shared" ca="1" si="12"/>
        <v/>
      </c>
      <c r="AK11" s="369" t="str">
        <f t="shared" ca="1" si="13"/>
        <v/>
      </c>
    </row>
    <row r="12" spans="1:37" ht="24" customHeight="1">
      <c r="A12" s="330" t="s">
        <v>155</v>
      </c>
      <c r="B12" s="340"/>
      <c r="C12" s="341" t="str">
        <f>IF(B12&lt;&gt;0,INDEX(Perf.Sprint!$C$4:$C$41,MATCH(B12,Perf.Sprint!$B$4:$B$41,0)),"")</f>
        <v/>
      </c>
      <c r="D12" s="342" t="str">
        <f t="array" ref="D12">IF(B12&lt;&gt;0,INDEX(Perf.Sprint!$AM$4:$AM$40,MATCH(B12,Perf.Sprint!$B$4:$B$40,0)),"")</f>
        <v/>
      </c>
      <c r="E12" s="343" t="s">
        <v>149</v>
      </c>
      <c r="F12" s="344"/>
      <c r="G12" s="341" t="str">
        <f>IF(F12&lt;&gt;0,INDEX(Perf.Sprint!$C$4:$C$41,MATCH(F12,Perf.Sprint!$B$4:$B$41,0)),"")</f>
        <v/>
      </c>
      <c r="H12" s="342" t="str">
        <f t="array" ref="H12">IF(F12&lt;&gt;0,INDEX(Perf.Sprint!$AM$4:$AM$40,MATCH(F12,Perf.Sprint!$B$4:$B$40,0)),"")</f>
        <v/>
      </c>
      <c r="I12" s="345" t="str">
        <f>IF(B12&lt;&gt;0,INDEX(Perf.Sprint!$BJ$4:$BJ$40,MATCH(B12,Perf.Sprint!$B$4:$B$40,0)),"")</f>
        <v/>
      </c>
      <c r="J12" s="345" t="str">
        <f>IF(F12&lt;&gt;0,INDEX(Perf.Sprint!$BG$4:$BG$40,MATCH(F12,Perf.Sprint!$B$4:$B$40,0)),"")</f>
        <v/>
      </c>
      <c r="K12" s="346" t="str">
        <f t="shared" si="0"/>
        <v/>
      </c>
      <c r="L12" s="347" t="str">
        <f t="shared" si="1"/>
        <v/>
      </c>
      <c r="M12" s="342" t="str">
        <f t="shared" si="2"/>
        <v/>
      </c>
      <c r="N12" s="345" t="str">
        <f>IF(F12&lt;&gt;0,INDEX(Perf.Sprint!$BJ$4:$BJ$40,MATCH(F12,Perf.Sprint!$B$4:$B$40,0)),"")</f>
        <v/>
      </c>
      <c r="O12" s="345" t="str">
        <f>IF(B12&lt;&gt;0,INDEX(Perf.Sprint!$BG$4:$BG$40,MATCH(B12,Perf.Sprint!$B$4:$B$40,0)),"")</f>
        <v/>
      </c>
      <c r="P12" s="346" t="str">
        <f t="shared" si="3"/>
        <v/>
      </c>
      <c r="Q12" s="347" t="str">
        <f t="shared" si="4"/>
        <v/>
      </c>
      <c r="R12" s="348" t="str">
        <f t="shared" si="5"/>
        <v/>
      </c>
      <c r="S12" s="349" t="str">
        <f t="shared" si="6"/>
        <v/>
      </c>
      <c r="T12" s="350" t="str">
        <f t="shared" si="7"/>
        <v/>
      </c>
      <c r="U12" s="351">
        <v>9</v>
      </c>
      <c r="V12" s="352" t="str">
        <f t="array" aca="1" ref="V12" ca="1">IFERROR(IF(ROWS($4:12)&lt;=COUNTA($A$4:$A$29),INDEX($A$4:$A$29,SMALL(IF($A$4:$A$29&lt;&gt;"",ROW(INDIRECT("1:"&amp;ROWS($A$4:$A$29)))),ROWS($4:12))),""),"")</f>
        <v>I</v>
      </c>
      <c r="W12" s="352" t="str">
        <f t="shared" ca="1" si="14"/>
        <v/>
      </c>
      <c r="X12" s="352" t="str">
        <f t="shared" ca="1" si="15"/>
        <v/>
      </c>
      <c r="Y12" s="351" t="str">
        <f ca="1">IFERROR(RANK($X12,$X$4:$X$29,0)+COUNTIF(X$4:X12,X12)-1,"")</f>
        <v/>
      </c>
      <c r="Z12" s="350"/>
      <c r="AA12" s="353" t="str">
        <f>IF(Liste!B11&lt;&gt;"",Liste!B11,"")</f>
        <v>I</v>
      </c>
      <c r="AB12" s="354">
        <f t="shared" si="8"/>
        <v>0</v>
      </c>
      <c r="AC12" s="350"/>
      <c r="AD12" s="355" t="str">
        <f t="shared" ca="1" si="9"/>
        <v/>
      </c>
      <c r="AE12" s="355" t="str">
        <f t="shared" ca="1" si="16"/>
        <v/>
      </c>
      <c r="AF12" s="356" t="str">
        <f t="shared" ca="1" si="10"/>
        <v/>
      </c>
      <c r="AG12" s="356" t="str">
        <f t="array" aca="1" ref="AG12" ca="1">IF(AF12&lt;&gt;"",INDEX(Perf.Sprint!$C$4:$C$41,MATCH(AF12,Perf.Sprint!$B$4:$B$41,0)),"")</f>
        <v/>
      </c>
      <c r="AH12" s="356" t="str">
        <f t="shared" ca="1" si="11"/>
        <v/>
      </c>
      <c r="AI12" s="356" t="str">
        <f t="array" aca="1" ref="AI12" ca="1">IF(AH12&lt;&gt;"",INDEX(Perf.Sprint!$C$4:$C$41,MATCH(AH12,Perf.Sprint!$B$4:$B$41,0)),"")</f>
        <v/>
      </c>
      <c r="AJ12" s="357" t="str">
        <f t="shared" ca="1" si="12"/>
        <v/>
      </c>
      <c r="AK12" s="358" t="str">
        <f t="shared" ca="1" si="13"/>
        <v/>
      </c>
    </row>
    <row r="13" spans="1:37" ht="24" customHeight="1">
      <c r="A13" s="330" t="s">
        <v>156</v>
      </c>
      <c r="B13" s="359"/>
      <c r="C13" s="360" t="str">
        <f>IF(B13&lt;&gt;0,INDEX(Perf.Sprint!$C$4:$C$41,MATCH(B13,Perf.Sprint!$B$4:$B$41,0)),"")</f>
        <v/>
      </c>
      <c r="D13" s="361" t="str">
        <f t="array" ref="D13">IF(B13&lt;&gt;0,INDEX(Perf.Sprint!$AM$4:$AM$40,MATCH(B13,Perf.Sprint!$B$4:$B$40,0)),"")</f>
        <v/>
      </c>
      <c r="E13" s="343" t="s">
        <v>149</v>
      </c>
      <c r="F13" s="362"/>
      <c r="G13" s="360" t="str">
        <f>IF(F13&lt;&gt;0,INDEX(Perf.Sprint!$C$4:$C$41,MATCH(F13,Perf.Sprint!$B$4:$B$41,0)),"")</f>
        <v/>
      </c>
      <c r="H13" s="361" t="str">
        <f t="array" ref="H13">IF(F13&lt;&gt;0,INDEX(Perf.Sprint!$AM$4:$AM$40,MATCH(F13,Perf.Sprint!$B$4:$B$40,0)),"")</f>
        <v/>
      </c>
      <c r="I13" s="345" t="str">
        <f>IF(B13&lt;&gt;0,INDEX(Perf.Sprint!$BJ$4:$BJ$40,MATCH(B13,Perf.Sprint!$B$4:$B$40,0)),"")</f>
        <v/>
      </c>
      <c r="J13" s="345" t="str">
        <f>IF(F13&lt;&gt;0,INDEX(Perf.Sprint!$BG$4:$BG$40,MATCH(F13,Perf.Sprint!$B$4:$B$40,0)),"")</f>
        <v/>
      </c>
      <c r="K13" s="363" t="str">
        <f t="shared" si="0"/>
        <v/>
      </c>
      <c r="L13" s="364" t="str">
        <f t="shared" si="1"/>
        <v/>
      </c>
      <c r="M13" s="361" t="str">
        <f t="shared" si="2"/>
        <v/>
      </c>
      <c r="N13" s="345" t="str">
        <f>IF(F13&lt;&gt;0,INDEX(Perf.Sprint!$BJ$4:$BJ$40,MATCH(F13,Perf.Sprint!$B$4:$B$40,0)),"")</f>
        <v/>
      </c>
      <c r="O13" s="345" t="str">
        <f>IF(B13&lt;&gt;0,INDEX(Perf.Sprint!$BG$4:$BG$40,MATCH(B13,Perf.Sprint!$B$4:$B$40,0)),"")</f>
        <v/>
      </c>
      <c r="P13" s="363" t="str">
        <f t="shared" si="3"/>
        <v/>
      </c>
      <c r="Q13" s="364" t="str">
        <f t="shared" si="4"/>
        <v/>
      </c>
      <c r="R13" s="365" t="str">
        <f t="shared" si="5"/>
        <v/>
      </c>
      <c r="S13" s="349" t="str">
        <f t="shared" si="6"/>
        <v/>
      </c>
      <c r="T13" s="350" t="str">
        <f t="shared" si="7"/>
        <v/>
      </c>
      <c r="U13" s="351">
        <v>10</v>
      </c>
      <c r="V13" s="352" t="str">
        <f t="array" aca="1" ref="V13" ca="1">IFERROR(IF(ROWS($4:13)&lt;=COUNTA($A$4:$A$29),INDEX($A$4:$A$29,SMALL(IF($A$4:$A$29&lt;&gt;"",ROW(INDIRECT("1:"&amp;ROWS($A$4:$A$29)))),ROWS($4:13))),""),"")</f>
        <v>J</v>
      </c>
      <c r="W13" s="352" t="str">
        <f t="shared" ca="1" si="14"/>
        <v/>
      </c>
      <c r="X13" s="352" t="str">
        <f t="shared" ca="1" si="15"/>
        <v/>
      </c>
      <c r="Y13" s="351" t="str">
        <f ca="1">IFERROR(RANK($X13,$X$4:$X$29,0)+COUNTIF(X$4:X13,X13)-1,"")</f>
        <v/>
      </c>
      <c r="Z13" s="330"/>
      <c r="AA13" s="353" t="str">
        <f>IF(Liste!B12&lt;&gt;"",Liste!B12,"")</f>
        <v xml:space="preserve">J </v>
      </c>
      <c r="AB13" s="354">
        <f t="shared" si="8"/>
        <v>0</v>
      </c>
      <c r="AC13" s="330"/>
      <c r="AD13" s="366" t="str">
        <f t="shared" ca="1" si="9"/>
        <v/>
      </c>
      <c r="AE13" s="366" t="str">
        <f t="shared" ca="1" si="16"/>
        <v/>
      </c>
      <c r="AF13" s="367" t="str">
        <f t="shared" ca="1" si="10"/>
        <v/>
      </c>
      <c r="AG13" s="367" t="str">
        <f t="array" aca="1" ref="AG13" ca="1">IF(AF13&lt;&gt;"",INDEX(Perf.Sprint!$C$4:$C$41,MATCH(AF13,Perf.Sprint!$B$4:$B$41,0)),"")</f>
        <v/>
      </c>
      <c r="AH13" s="367" t="str">
        <f t="shared" ca="1" si="11"/>
        <v/>
      </c>
      <c r="AI13" s="367" t="str">
        <f t="array" aca="1" ref="AI13" ca="1">IF(AH13&lt;&gt;"",INDEX(Perf.Sprint!$C$4:$C$41,MATCH(AH13,Perf.Sprint!$B$4:$B$41,0)),"")</f>
        <v/>
      </c>
      <c r="AJ13" s="368" t="str">
        <f t="shared" ca="1" si="12"/>
        <v/>
      </c>
      <c r="AK13" s="369" t="str">
        <f t="shared" ca="1" si="13"/>
        <v/>
      </c>
    </row>
    <row r="14" spans="1:37" ht="24" customHeight="1">
      <c r="A14" s="330" t="s">
        <v>157</v>
      </c>
      <c r="B14" s="340"/>
      <c r="C14" s="341" t="str">
        <f>IF(B14&lt;&gt;0,INDEX(Perf.Sprint!$C$4:$C$41,MATCH(B14,Perf.Sprint!$B$4:$B$41,0)),"")</f>
        <v/>
      </c>
      <c r="D14" s="342" t="str">
        <f t="array" ref="D14">IF(B14&lt;&gt;0,INDEX(Perf.Sprint!$AM$4:$AM$40,MATCH(B14,Perf.Sprint!$B$4:$B$40,0)),"")</f>
        <v/>
      </c>
      <c r="E14" s="343" t="s">
        <v>149</v>
      </c>
      <c r="F14" s="344"/>
      <c r="G14" s="341" t="str">
        <f>IF(F14&lt;&gt;0,INDEX(Perf.Sprint!$C$4:$C$41,MATCH(F14,Perf.Sprint!$B$4:$B$41,0)),"")</f>
        <v/>
      </c>
      <c r="H14" s="342" t="str">
        <f t="array" ref="H14">IF(F14&lt;&gt;0,INDEX(Perf.Sprint!$AM$4:$AM$40,MATCH(F14,Perf.Sprint!$B$4:$B$40,0)),"")</f>
        <v/>
      </c>
      <c r="I14" s="345" t="str">
        <f>IF(B14&lt;&gt;0,INDEX(Perf.Sprint!$BJ$4:$BJ$40,MATCH(B14,Perf.Sprint!$B$4:$B$40,0)),"")</f>
        <v/>
      </c>
      <c r="J14" s="345" t="str">
        <f>IF(F14&lt;&gt;0,INDEX(Perf.Sprint!$BG$4:$BG$40,MATCH(F14,Perf.Sprint!$B$4:$B$40,0)),"")</f>
        <v/>
      </c>
      <c r="K14" s="346" t="str">
        <f t="shared" si="0"/>
        <v/>
      </c>
      <c r="L14" s="347" t="str">
        <f t="shared" si="1"/>
        <v/>
      </c>
      <c r="M14" s="342" t="str">
        <f t="shared" si="2"/>
        <v/>
      </c>
      <c r="N14" s="345" t="str">
        <f>IF(F14&lt;&gt;0,INDEX(Perf.Sprint!$BJ$4:$BJ$40,MATCH(F14,Perf.Sprint!$B$4:$B$40,0)),"")</f>
        <v/>
      </c>
      <c r="O14" s="345" t="str">
        <f>IF(B14&lt;&gt;0,INDEX(Perf.Sprint!$BG$4:$BG$40,MATCH(B14,Perf.Sprint!$B$4:$B$40,0)),"")</f>
        <v/>
      </c>
      <c r="P14" s="346" t="str">
        <f t="shared" si="3"/>
        <v/>
      </c>
      <c r="Q14" s="347" t="str">
        <f t="shared" si="4"/>
        <v/>
      </c>
      <c r="R14" s="348" t="str">
        <f t="shared" si="5"/>
        <v/>
      </c>
      <c r="S14" s="349" t="str">
        <f t="shared" si="6"/>
        <v/>
      </c>
      <c r="T14" s="350" t="str">
        <f t="shared" si="7"/>
        <v/>
      </c>
      <c r="U14" s="351">
        <v>11</v>
      </c>
      <c r="V14" s="352" t="str">
        <f t="array" aca="1" ref="V14" ca="1">IFERROR(IF(ROWS($4:14)&lt;=COUNTA($A$4:$A$29),INDEX($A$4:$A$29,SMALL(IF($A$4:$A$29&lt;&gt;"",ROW(INDIRECT("1:"&amp;ROWS($A$4:$A$29)))),ROWS($4:14))),""),"")</f>
        <v>K</v>
      </c>
      <c r="W14" s="352" t="str">
        <f t="shared" ca="1" si="14"/>
        <v/>
      </c>
      <c r="X14" s="352" t="str">
        <f t="shared" ca="1" si="15"/>
        <v/>
      </c>
      <c r="Y14" s="351" t="str">
        <f ca="1">IFERROR(RANK($X14,$X$4:$X$29,0)+COUNTIF(X$4:X14,X14)-1,"")</f>
        <v/>
      </c>
      <c r="Z14" s="350"/>
      <c r="AA14" s="353" t="str">
        <f>IF(Liste!B13&lt;&gt;"",Liste!B13,"")</f>
        <v>K</v>
      </c>
      <c r="AB14" s="354">
        <f t="shared" si="8"/>
        <v>0</v>
      </c>
      <c r="AC14" s="350"/>
      <c r="AD14" s="355" t="str">
        <f t="shared" ca="1" si="9"/>
        <v/>
      </c>
      <c r="AE14" s="355" t="str">
        <f t="shared" ca="1" si="16"/>
        <v/>
      </c>
      <c r="AF14" s="356" t="str">
        <f t="shared" ca="1" si="10"/>
        <v/>
      </c>
      <c r="AG14" s="356" t="str">
        <f t="array" aca="1" ref="AG14" ca="1">IF(AF14&lt;&gt;"",INDEX(Perf.Sprint!$C$4:$C$41,MATCH(AF14,Perf.Sprint!$B$4:$B$41,0)),"")</f>
        <v/>
      </c>
      <c r="AH14" s="356" t="str">
        <f t="shared" ca="1" si="11"/>
        <v/>
      </c>
      <c r="AI14" s="356" t="str">
        <f t="array" aca="1" ref="AI14" ca="1">IF(AH14&lt;&gt;"",INDEX(Perf.Sprint!$C$4:$C$41,MATCH(AH14,Perf.Sprint!$B$4:$B$41,0)),"")</f>
        <v/>
      </c>
      <c r="AJ14" s="357" t="str">
        <f t="shared" ca="1" si="12"/>
        <v/>
      </c>
      <c r="AK14" s="358" t="str">
        <f t="shared" ca="1" si="13"/>
        <v/>
      </c>
    </row>
    <row r="15" spans="1:37" ht="24" customHeight="1">
      <c r="A15" s="330" t="s">
        <v>158</v>
      </c>
      <c r="B15" s="359"/>
      <c r="C15" s="360" t="str">
        <f>IF(B15&lt;&gt;0,INDEX(Perf.Sprint!$C$4:$C$41,MATCH(B15,Perf.Sprint!$B$4:$B$41,0)),"")</f>
        <v/>
      </c>
      <c r="D15" s="361" t="str">
        <f t="array" ref="D15">IF(B15&lt;&gt;0,INDEX(Perf.Sprint!$AM$4:$AM$40,MATCH(B15,Perf.Sprint!$B$4:$B$40,0)),"")</f>
        <v/>
      </c>
      <c r="E15" s="343" t="s">
        <v>149</v>
      </c>
      <c r="F15" s="362"/>
      <c r="G15" s="360" t="str">
        <f>IF(F15&lt;&gt;0,INDEX(Perf.Sprint!$C$4:$C$41,MATCH(F15,Perf.Sprint!$B$4:$B$41,0)),"")</f>
        <v/>
      </c>
      <c r="H15" s="361" t="str">
        <f t="array" ref="H15">IF(F15&lt;&gt;0,INDEX(Perf.Sprint!$AM$4:$AM$40,MATCH(F15,Perf.Sprint!$B$4:$B$40,0)),"")</f>
        <v/>
      </c>
      <c r="I15" s="345" t="str">
        <f>IF(B15&lt;&gt;0,INDEX(Perf.Sprint!$BJ$4:$BJ$40,MATCH(B15,Perf.Sprint!$B$4:$B$40,0)),"")</f>
        <v/>
      </c>
      <c r="J15" s="345" t="str">
        <f>IF(F15&lt;&gt;0,INDEX(Perf.Sprint!$BG$4:$BG$40,MATCH(F15,Perf.Sprint!$B$4:$B$40,0)),"")</f>
        <v/>
      </c>
      <c r="K15" s="363" t="str">
        <f t="shared" si="0"/>
        <v/>
      </c>
      <c r="L15" s="364" t="str">
        <f t="shared" si="1"/>
        <v/>
      </c>
      <c r="M15" s="361" t="str">
        <f t="shared" si="2"/>
        <v/>
      </c>
      <c r="N15" s="345" t="str">
        <f>IF(F15&lt;&gt;0,INDEX(Perf.Sprint!$BJ$4:$BJ$40,MATCH(F15,Perf.Sprint!$B$4:$B$40,0)),"")</f>
        <v/>
      </c>
      <c r="O15" s="345" t="str">
        <f>IF(B15&lt;&gt;0,INDEX(Perf.Sprint!$BG$4:$BG$40,MATCH(B15,Perf.Sprint!$B$4:$B$40,0)),"")</f>
        <v/>
      </c>
      <c r="P15" s="363" t="str">
        <f t="shared" si="3"/>
        <v/>
      </c>
      <c r="Q15" s="364" t="str">
        <f t="shared" si="4"/>
        <v/>
      </c>
      <c r="R15" s="365" t="str">
        <f t="shared" si="5"/>
        <v/>
      </c>
      <c r="S15" s="349" t="str">
        <f t="shared" si="6"/>
        <v/>
      </c>
      <c r="T15" s="350" t="str">
        <f t="shared" si="7"/>
        <v/>
      </c>
      <c r="U15" s="351">
        <v>12</v>
      </c>
      <c r="V15" s="352" t="str">
        <f t="array" aca="1" ref="V15" ca="1">IFERROR(IF(ROWS($4:15)&lt;=COUNTA($A$4:$A$29),INDEX($A$4:$A$29,SMALL(IF($A$4:$A$29&lt;&gt;"",ROW(INDIRECT("1:"&amp;ROWS($A$4:$A$29)))),ROWS($4:15))),""),"")</f>
        <v>L</v>
      </c>
      <c r="W15" s="352" t="str">
        <f t="shared" ca="1" si="14"/>
        <v/>
      </c>
      <c r="X15" s="352" t="str">
        <f t="shared" ca="1" si="15"/>
        <v/>
      </c>
      <c r="Y15" s="351" t="str">
        <f ca="1">IFERROR(RANK($X15,$X$4:$X$29,0)+COUNTIF(X$4:X15,X15)-1,"")</f>
        <v/>
      </c>
      <c r="Z15" s="350"/>
      <c r="AA15" s="353" t="str">
        <f>IF(Liste!B14&lt;&gt;"",Liste!B14,"")</f>
        <v>L</v>
      </c>
      <c r="AB15" s="354">
        <f t="shared" si="8"/>
        <v>0</v>
      </c>
      <c r="AC15" s="350"/>
      <c r="AD15" s="366" t="str">
        <f t="shared" ca="1" si="9"/>
        <v/>
      </c>
      <c r="AE15" s="366" t="str">
        <f t="shared" ca="1" si="16"/>
        <v/>
      </c>
      <c r="AF15" s="367" t="str">
        <f t="shared" ca="1" si="10"/>
        <v/>
      </c>
      <c r="AG15" s="367" t="str">
        <f t="array" aca="1" ref="AG15" ca="1">IF(AF15&lt;&gt;"",INDEX(Perf.Sprint!$C$4:$C$41,MATCH(AF15,Perf.Sprint!$B$4:$B$41,0)),"")</f>
        <v/>
      </c>
      <c r="AH15" s="367" t="str">
        <f t="shared" ca="1" si="11"/>
        <v/>
      </c>
      <c r="AI15" s="367" t="str">
        <f t="array" aca="1" ref="AI15" ca="1">IF(AH15&lt;&gt;"",INDEX(Perf.Sprint!$C$4:$C$41,MATCH(AH15,Perf.Sprint!$B$4:$B$41,0)),"")</f>
        <v/>
      </c>
      <c r="AJ15" s="368" t="str">
        <f t="shared" ca="1" si="12"/>
        <v/>
      </c>
      <c r="AK15" s="369" t="str">
        <f t="shared" ca="1" si="13"/>
        <v/>
      </c>
    </row>
    <row r="16" spans="1:37" ht="24" customHeight="1">
      <c r="A16" s="330" t="s">
        <v>10</v>
      </c>
      <c r="B16" s="340"/>
      <c r="C16" s="341" t="str">
        <f>IF(B16&lt;&gt;0,INDEX(Perf.Sprint!$C$4:$C$41,MATCH(B16,Perf.Sprint!$B$4:$B$41,0)),"")</f>
        <v/>
      </c>
      <c r="D16" s="342" t="str">
        <f t="array" ref="D16">IF(B16&lt;&gt;0,INDEX(Perf.Sprint!$AM$4:$AM$40,MATCH(B16,Perf.Sprint!$B$4:$B$40,0)),"")</f>
        <v/>
      </c>
      <c r="E16" s="343" t="s">
        <v>149</v>
      </c>
      <c r="F16" s="344"/>
      <c r="G16" s="341" t="str">
        <f>IF(F16&lt;&gt;0,INDEX(Perf.Sprint!$C$4:$C$41,MATCH(F16,Perf.Sprint!$B$4:$B$41,0)),"")</f>
        <v/>
      </c>
      <c r="H16" s="342" t="str">
        <f t="array" ref="H16">IF(F16&lt;&gt;0,INDEX(Perf.Sprint!$AM$4:$AM$40,MATCH(F16,Perf.Sprint!$B$4:$B$40,0)),"")</f>
        <v/>
      </c>
      <c r="I16" s="345" t="str">
        <f>IF(B16&lt;&gt;0,INDEX(Perf.Sprint!$BJ$4:$BJ$40,MATCH(B16,Perf.Sprint!$B$4:$B$40,0)),"")</f>
        <v/>
      </c>
      <c r="J16" s="345" t="str">
        <f>IF(F16&lt;&gt;0,INDEX(Perf.Sprint!$BG$4:$BG$40,MATCH(F16,Perf.Sprint!$B$4:$B$40,0)),"")</f>
        <v/>
      </c>
      <c r="K16" s="346" t="str">
        <f t="shared" si="0"/>
        <v/>
      </c>
      <c r="L16" s="347" t="str">
        <f t="shared" si="1"/>
        <v/>
      </c>
      <c r="M16" s="342" t="str">
        <f t="shared" si="2"/>
        <v/>
      </c>
      <c r="N16" s="345" t="str">
        <f>IF(F16&lt;&gt;0,INDEX(Perf.Sprint!$BJ$4:$BJ$40,MATCH(F16,Perf.Sprint!$B$4:$B$40,0)),"")</f>
        <v/>
      </c>
      <c r="O16" s="345" t="str">
        <f>IF(B16&lt;&gt;0,INDEX(Perf.Sprint!$BG$4:$BG$40,MATCH(B16,Perf.Sprint!$B$4:$B$40,0)),"")</f>
        <v/>
      </c>
      <c r="P16" s="346" t="str">
        <f t="shared" si="3"/>
        <v/>
      </c>
      <c r="Q16" s="347" t="str">
        <f t="shared" si="4"/>
        <v/>
      </c>
      <c r="R16" s="348" t="str">
        <f t="shared" si="5"/>
        <v/>
      </c>
      <c r="S16" s="349" t="str">
        <f t="shared" si="6"/>
        <v/>
      </c>
      <c r="T16" s="350" t="str">
        <f t="shared" si="7"/>
        <v/>
      </c>
      <c r="U16" s="351">
        <v>13</v>
      </c>
      <c r="V16" s="352" t="str">
        <f t="array" aca="1" ref="V16" ca="1">IFERROR(IF(ROWS($4:16)&lt;=COUNTA($A$4:$A$29),INDEX($A$4:$A$29,SMALL(IF($A$4:$A$29&lt;&gt;"",ROW(INDIRECT("1:"&amp;ROWS($A$4:$A$29)))),ROWS($4:16))),""),"")</f>
        <v>M</v>
      </c>
      <c r="W16" s="352" t="str">
        <f t="shared" ca="1" si="14"/>
        <v/>
      </c>
      <c r="X16" s="352" t="str">
        <f t="shared" ca="1" si="15"/>
        <v/>
      </c>
      <c r="Y16" s="351" t="str">
        <f ca="1">IFERROR(RANK($X16,$X$4:$X$29,0)+COUNTIF(X$4:X16,X16)-1,"")</f>
        <v/>
      </c>
      <c r="Z16" s="330"/>
      <c r="AA16" s="353" t="str">
        <f>IF(Liste!B15&lt;&gt;"",Liste!B15,"")</f>
        <v>M</v>
      </c>
      <c r="AB16" s="354">
        <f t="shared" si="8"/>
        <v>0</v>
      </c>
      <c r="AC16" s="330"/>
      <c r="AD16" s="355" t="str">
        <f t="shared" ca="1" si="9"/>
        <v/>
      </c>
      <c r="AE16" s="355" t="str">
        <f t="shared" ca="1" si="16"/>
        <v/>
      </c>
      <c r="AF16" s="356" t="str">
        <f t="shared" ca="1" si="10"/>
        <v/>
      </c>
      <c r="AG16" s="356" t="str">
        <f t="array" aca="1" ref="AG16" ca="1">IF(AF16&lt;&gt;"",INDEX(Perf.Sprint!$C$4:$C$41,MATCH(AF16,Perf.Sprint!$B$4:$B$41,0)),"")</f>
        <v/>
      </c>
      <c r="AH16" s="356" t="str">
        <f t="shared" ca="1" si="11"/>
        <v/>
      </c>
      <c r="AI16" s="356" t="str">
        <f t="array" aca="1" ref="AI16" ca="1">IF(AH16&lt;&gt;"",INDEX(Perf.Sprint!$C$4:$C$41,MATCH(AH16,Perf.Sprint!$B$4:$B$41,0)),"")</f>
        <v/>
      </c>
      <c r="AJ16" s="357" t="str">
        <f t="shared" ca="1" si="12"/>
        <v/>
      </c>
      <c r="AK16" s="358" t="str">
        <f t="shared" ca="1" si="13"/>
        <v/>
      </c>
    </row>
    <row r="17" spans="1:37" ht="24" customHeight="1">
      <c r="A17" s="330" t="s">
        <v>159</v>
      </c>
      <c r="B17" s="359"/>
      <c r="C17" s="360" t="str">
        <f>IF(B17&lt;&gt;0,INDEX(Perf.Sprint!$C$4:$C$41,MATCH(B17,Perf.Sprint!$B$4:$B$41,0)),"")</f>
        <v/>
      </c>
      <c r="D17" s="361" t="str">
        <f t="array" ref="D17">IF(B17&lt;&gt;0,INDEX(Perf.Sprint!$AM$4:$AM$40,MATCH(B17,Perf.Sprint!$B$4:$B$40,0)),"")</f>
        <v/>
      </c>
      <c r="E17" s="343" t="s">
        <v>149</v>
      </c>
      <c r="F17" s="362"/>
      <c r="G17" s="360" t="str">
        <f>IF(F17&lt;&gt;0,INDEX(Perf.Sprint!$C$4:$C$41,MATCH(F17,Perf.Sprint!$B$4:$B$41,0)),"")</f>
        <v/>
      </c>
      <c r="H17" s="361" t="str">
        <f t="array" ref="H17">IF(F17&lt;&gt;0,INDEX(Perf.Sprint!$AM$4:$AM$40,MATCH(F17,Perf.Sprint!$B$4:$B$40,0)),"")</f>
        <v/>
      </c>
      <c r="I17" s="345" t="str">
        <f>IF(B17&lt;&gt;0,INDEX(Perf.Sprint!$BJ$4:$BJ$40,MATCH(B17,Perf.Sprint!$B$4:$B$40,0)),"")</f>
        <v/>
      </c>
      <c r="J17" s="345" t="str">
        <f>IF(F17&lt;&gt;0,INDEX(Perf.Sprint!$BG$4:$BG$40,MATCH(F17,Perf.Sprint!$B$4:$B$40,0)),"")</f>
        <v/>
      </c>
      <c r="K17" s="363" t="str">
        <f t="shared" si="0"/>
        <v/>
      </c>
      <c r="L17" s="364" t="str">
        <f t="shared" si="1"/>
        <v/>
      </c>
      <c r="M17" s="361" t="str">
        <f t="shared" si="2"/>
        <v/>
      </c>
      <c r="N17" s="345" t="str">
        <f>IF(F17&lt;&gt;0,INDEX(Perf.Sprint!$BJ$4:$BJ$40,MATCH(F17,Perf.Sprint!$B$4:$B$40,0)),"")</f>
        <v/>
      </c>
      <c r="O17" s="345" t="str">
        <f>IF(B17&lt;&gt;0,INDEX(Perf.Sprint!$BG$4:$BG$40,MATCH(B17,Perf.Sprint!$B$4:$B$40,0)),"")</f>
        <v/>
      </c>
      <c r="P17" s="363" t="str">
        <f t="shared" si="3"/>
        <v/>
      </c>
      <c r="Q17" s="364" t="str">
        <f t="shared" si="4"/>
        <v/>
      </c>
      <c r="R17" s="365" t="str">
        <f t="shared" si="5"/>
        <v/>
      </c>
      <c r="S17" s="349" t="str">
        <f t="shared" si="6"/>
        <v/>
      </c>
      <c r="T17" s="350" t="str">
        <f t="shared" si="7"/>
        <v/>
      </c>
      <c r="U17" s="351">
        <v>14</v>
      </c>
      <c r="V17" s="352" t="str">
        <f t="array" aca="1" ref="V17" ca="1">IFERROR(IF(ROWS($4:17)&lt;=COUNTA($A$4:$A$29),INDEX($A$4:$A$29,SMALL(IF($A$4:$A$29&lt;&gt;"",ROW(INDIRECT("1:"&amp;ROWS($A$4:$A$29)))),ROWS($4:17))),""),"")</f>
        <v>N</v>
      </c>
      <c r="W17" s="352" t="str">
        <f t="shared" ca="1" si="14"/>
        <v/>
      </c>
      <c r="X17" s="352" t="str">
        <f t="shared" ca="1" si="15"/>
        <v/>
      </c>
      <c r="Y17" s="351" t="str">
        <f ca="1">IFERROR(RANK($X17,$X$4:$X$29,0)+COUNTIF(X$4:X17,X17)-1,"")</f>
        <v/>
      </c>
      <c r="Z17" s="350"/>
      <c r="AA17" s="353" t="str">
        <f>IF(Liste!B16&lt;&gt;"",Liste!B16,"")</f>
        <v>N</v>
      </c>
      <c r="AB17" s="354">
        <f t="shared" si="8"/>
        <v>0</v>
      </c>
      <c r="AC17" s="350"/>
      <c r="AD17" s="366" t="str">
        <f t="shared" ca="1" si="9"/>
        <v/>
      </c>
      <c r="AE17" s="366" t="str">
        <f t="shared" ca="1" si="16"/>
        <v/>
      </c>
      <c r="AF17" s="367" t="str">
        <f t="shared" ca="1" si="10"/>
        <v/>
      </c>
      <c r="AG17" s="367" t="str">
        <f t="array" aca="1" ref="AG17" ca="1">IF(AF17&lt;&gt;"",INDEX(Perf.Sprint!$C$4:$C$41,MATCH(AF17,Perf.Sprint!$B$4:$B$41,0)),"")</f>
        <v/>
      </c>
      <c r="AH17" s="367" t="str">
        <f t="shared" ca="1" si="11"/>
        <v/>
      </c>
      <c r="AI17" s="367" t="str">
        <f t="array" aca="1" ref="AI17" ca="1">IF(AH17&lt;&gt;"",INDEX(Perf.Sprint!$C$4:$C$41,MATCH(AH17,Perf.Sprint!$B$4:$B$41,0)),"")</f>
        <v/>
      </c>
      <c r="AJ17" s="368" t="str">
        <f t="shared" ca="1" si="12"/>
        <v/>
      </c>
      <c r="AK17" s="369" t="str">
        <f t="shared" ca="1" si="13"/>
        <v/>
      </c>
    </row>
    <row r="18" spans="1:37" ht="24" customHeight="1">
      <c r="A18" s="330" t="s">
        <v>160</v>
      </c>
      <c r="B18" s="340"/>
      <c r="C18" s="341" t="str">
        <f>IF(B18&lt;&gt;0,INDEX(Perf.Sprint!$C$4:$C$41,MATCH(B18,Perf.Sprint!$B$4:$B$41,0)),"")</f>
        <v/>
      </c>
      <c r="D18" s="342" t="str">
        <f t="array" ref="D18">IF(B18&lt;&gt;0,INDEX(Perf.Sprint!$AM$4:$AM$40,MATCH(B18,Perf.Sprint!$B$4:$B$40,0)),"")</f>
        <v/>
      </c>
      <c r="E18" s="343" t="s">
        <v>149</v>
      </c>
      <c r="F18" s="344"/>
      <c r="G18" s="341" t="str">
        <f>IF(F18&lt;&gt;0,INDEX(Perf.Sprint!$C$4:$C$41,MATCH(F18,Perf.Sprint!$B$4:$B$41,0)),"")</f>
        <v/>
      </c>
      <c r="H18" s="342" t="str">
        <f t="array" ref="H18">IF(F18&lt;&gt;0,INDEX(Perf.Sprint!$AM$4:$AM$40,MATCH(F18,Perf.Sprint!$B$4:$B$40,0)),"")</f>
        <v/>
      </c>
      <c r="I18" s="345" t="str">
        <f>IF(B18&lt;&gt;0,INDEX(Perf.Sprint!$BJ$4:$BJ$40,MATCH(B18,Perf.Sprint!$B$4:$B$40,0)),"")</f>
        <v/>
      </c>
      <c r="J18" s="345" t="str">
        <f>IF(F18&lt;&gt;0,INDEX(Perf.Sprint!$BG$4:$BG$40,MATCH(F18,Perf.Sprint!$B$4:$B$40,0)),"")</f>
        <v/>
      </c>
      <c r="K18" s="346" t="str">
        <f t="shared" si="0"/>
        <v/>
      </c>
      <c r="L18" s="347" t="str">
        <f t="shared" si="1"/>
        <v/>
      </c>
      <c r="M18" s="342" t="str">
        <f t="shared" si="2"/>
        <v/>
      </c>
      <c r="N18" s="345" t="str">
        <f>IF(F18&lt;&gt;0,INDEX(Perf.Sprint!$BJ$4:$BJ$40,MATCH(F18,Perf.Sprint!$B$4:$B$40,0)),"")</f>
        <v/>
      </c>
      <c r="O18" s="345" t="str">
        <f>IF(B18&lt;&gt;0,INDEX(Perf.Sprint!$BG$4:$BG$40,MATCH(B18,Perf.Sprint!$B$4:$B$40,0)),"")</f>
        <v/>
      </c>
      <c r="P18" s="346" t="str">
        <f t="shared" si="3"/>
        <v/>
      </c>
      <c r="Q18" s="347" t="str">
        <f t="shared" si="4"/>
        <v/>
      </c>
      <c r="R18" s="348" t="str">
        <f t="shared" si="5"/>
        <v/>
      </c>
      <c r="S18" s="349" t="str">
        <f t="shared" si="6"/>
        <v/>
      </c>
      <c r="T18" s="350" t="str">
        <f t="shared" si="7"/>
        <v/>
      </c>
      <c r="U18" s="351">
        <v>15</v>
      </c>
      <c r="V18" s="352" t="str">
        <f t="array" aca="1" ref="V18" ca="1">IFERROR(IF(ROWS($4:18)&lt;=COUNTA($A$4:$A$29),INDEX($A$4:$A$29,SMALL(IF($A$4:$A$29&lt;&gt;"",ROW(INDIRECT("1:"&amp;ROWS($A$4:$A$29)))),ROWS($4:18))),""),"")</f>
        <v>O</v>
      </c>
      <c r="W18" s="352" t="str">
        <f t="shared" ca="1" si="14"/>
        <v/>
      </c>
      <c r="X18" s="352" t="str">
        <f t="shared" ca="1" si="15"/>
        <v/>
      </c>
      <c r="Y18" s="351" t="str">
        <f ca="1">IFERROR(RANK($X18,$X$4:$X$29,0)+COUNTIF(X$4:X18,X18)-1,"")</f>
        <v/>
      </c>
      <c r="Z18" s="350"/>
      <c r="AA18" s="353" t="str">
        <f>IF(Liste!B17&lt;&gt;"",Liste!B17,"")</f>
        <v>O</v>
      </c>
      <c r="AB18" s="354">
        <f t="shared" si="8"/>
        <v>0</v>
      </c>
      <c r="AC18" s="350"/>
      <c r="AD18" s="355" t="str">
        <f t="shared" ca="1" si="9"/>
        <v/>
      </c>
      <c r="AE18" s="355" t="str">
        <f t="shared" ca="1" si="16"/>
        <v/>
      </c>
      <c r="AF18" s="356" t="str">
        <f t="shared" ca="1" si="10"/>
        <v/>
      </c>
      <c r="AG18" s="356" t="str">
        <f t="array" aca="1" ref="AG18" ca="1">IF(AF18&lt;&gt;"",INDEX(Perf.Sprint!$C$4:$C$41,MATCH(AF18,Perf.Sprint!$B$4:$B$41,0)),"")</f>
        <v/>
      </c>
      <c r="AH18" s="356" t="str">
        <f t="shared" ca="1" si="11"/>
        <v/>
      </c>
      <c r="AI18" s="356" t="str">
        <f t="array" aca="1" ref="AI18" ca="1">IF(AH18&lt;&gt;"",INDEX(Perf.Sprint!$C$4:$C$41,MATCH(AH18,Perf.Sprint!$B$4:$B$41,0)),"")</f>
        <v/>
      </c>
      <c r="AJ18" s="357" t="str">
        <f t="shared" ca="1" si="12"/>
        <v/>
      </c>
      <c r="AK18" s="358" t="str">
        <f t="shared" ca="1" si="13"/>
        <v/>
      </c>
    </row>
    <row r="19" spans="1:37" ht="24" customHeight="1">
      <c r="A19" s="330" t="s">
        <v>161</v>
      </c>
      <c r="B19" s="359"/>
      <c r="C19" s="360" t="str">
        <f>IF(B19&lt;&gt;0,INDEX(Perf.Sprint!$C$4:$C$41,MATCH(B19,Perf.Sprint!$B$4:$B$41,0)),"")</f>
        <v/>
      </c>
      <c r="D19" s="361" t="str">
        <f t="array" ref="D19">IF(B19&lt;&gt;0,INDEX(Perf.Sprint!$AM$4:$AM$40,MATCH(B19,Perf.Sprint!$B$4:$B$40,0)),"")</f>
        <v/>
      </c>
      <c r="E19" s="343" t="s">
        <v>149</v>
      </c>
      <c r="F19" s="362"/>
      <c r="G19" s="360" t="str">
        <f>IF(F19&lt;&gt;0,INDEX(Perf.Sprint!$C$4:$C$41,MATCH(F19,Perf.Sprint!$B$4:$B$41,0)),"")</f>
        <v/>
      </c>
      <c r="H19" s="361" t="str">
        <f t="array" ref="H19">IF(F19&lt;&gt;0,INDEX(Perf.Sprint!$AM$4:$AM$40,MATCH(F19,Perf.Sprint!$B$4:$B$40,0)),"")</f>
        <v/>
      </c>
      <c r="I19" s="345" t="str">
        <f>IF(B19&lt;&gt;0,INDEX(Perf.Sprint!$BJ$4:$BJ$40,MATCH(B19,Perf.Sprint!$B$4:$B$40,0)),"")</f>
        <v/>
      </c>
      <c r="J19" s="345" t="str">
        <f>IF(F19&lt;&gt;0,INDEX(Perf.Sprint!$BG$4:$BG$40,MATCH(F19,Perf.Sprint!$B$4:$B$40,0)),"")</f>
        <v/>
      </c>
      <c r="K19" s="363" t="str">
        <f t="shared" si="0"/>
        <v/>
      </c>
      <c r="L19" s="364" t="str">
        <f t="shared" si="1"/>
        <v/>
      </c>
      <c r="M19" s="361" t="str">
        <f t="shared" si="2"/>
        <v/>
      </c>
      <c r="N19" s="345" t="str">
        <f>IF(F19&lt;&gt;0,INDEX(Perf.Sprint!$BJ$4:$BJ$40,MATCH(F19,Perf.Sprint!$B$4:$B$40,0)),"")</f>
        <v/>
      </c>
      <c r="O19" s="345" t="str">
        <f>IF(B19&lt;&gt;0,INDEX(Perf.Sprint!$BG$4:$BG$40,MATCH(B19,Perf.Sprint!$B$4:$B$40,0)),"")</f>
        <v/>
      </c>
      <c r="P19" s="363" t="str">
        <f t="shared" si="3"/>
        <v/>
      </c>
      <c r="Q19" s="364" t="str">
        <f t="shared" si="4"/>
        <v/>
      </c>
      <c r="R19" s="365" t="str">
        <f t="shared" si="5"/>
        <v/>
      </c>
      <c r="S19" s="349" t="str">
        <f t="shared" si="6"/>
        <v/>
      </c>
      <c r="T19" s="350" t="str">
        <f t="shared" si="7"/>
        <v/>
      </c>
      <c r="U19" s="351">
        <v>16</v>
      </c>
      <c r="V19" s="352" t="str">
        <f t="array" aca="1" ref="V19" ca="1">IFERROR(IF(ROWS($4:19)&lt;=COUNTA($A$4:$A$29),INDEX($A$4:$A$29,SMALL(IF($A$4:$A$29&lt;&gt;"",ROW(INDIRECT("1:"&amp;ROWS($A$4:$A$29)))),ROWS($4:19))),""),"")</f>
        <v>P</v>
      </c>
      <c r="W19" s="352" t="str">
        <f t="shared" ca="1" si="14"/>
        <v/>
      </c>
      <c r="X19" s="352" t="str">
        <f t="shared" ca="1" si="15"/>
        <v/>
      </c>
      <c r="Y19" s="351" t="str">
        <f ca="1">IFERROR(RANK($X19,$X$4:$X$29,0)+COUNTIF(X$4:X19,X19)-1,"")</f>
        <v/>
      </c>
      <c r="Z19" s="330"/>
      <c r="AA19" s="353" t="str">
        <f>IF(Liste!B18&lt;&gt;"",Liste!B18,"")</f>
        <v>P</v>
      </c>
      <c r="AB19" s="354">
        <f t="shared" si="8"/>
        <v>0</v>
      </c>
      <c r="AC19" s="330"/>
      <c r="AD19" s="366" t="str">
        <f t="shared" ca="1" si="9"/>
        <v/>
      </c>
      <c r="AE19" s="366" t="str">
        <f t="shared" ca="1" si="16"/>
        <v/>
      </c>
      <c r="AF19" s="367" t="str">
        <f t="shared" ca="1" si="10"/>
        <v/>
      </c>
      <c r="AG19" s="367" t="str">
        <f t="array" aca="1" ref="AG19" ca="1">IF(AF19&lt;&gt;"",INDEX(Perf.Sprint!$C$4:$C$41,MATCH(AF19,Perf.Sprint!$B$4:$B$41,0)),"")</f>
        <v/>
      </c>
      <c r="AH19" s="367" t="str">
        <f t="shared" ca="1" si="11"/>
        <v/>
      </c>
      <c r="AI19" s="367" t="str">
        <f t="array" aca="1" ref="AI19" ca="1">IF(AH19&lt;&gt;"",INDEX(Perf.Sprint!$C$4:$C$41,MATCH(AH19,Perf.Sprint!$B$4:$B$41,0)),"")</f>
        <v/>
      </c>
      <c r="AJ19" s="368" t="str">
        <f t="shared" ca="1" si="12"/>
        <v/>
      </c>
      <c r="AK19" s="369" t="str">
        <f t="shared" ca="1" si="13"/>
        <v/>
      </c>
    </row>
    <row r="20" spans="1:37" ht="24" customHeight="1">
      <c r="A20" s="330" t="s">
        <v>162</v>
      </c>
      <c r="B20" s="340"/>
      <c r="C20" s="341" t="str">
        <f>IF(B20&lt;&gt;0,INDEX(Perf.Sprint!$C$4:$C$41,MATCH(B20,Perf.Sprint!$B$4:$B$41,0)),"")</f>
        <v/>
      </c>
      <c r="D20" s="342" t="str">
        <f t="array" ref="D20">IF(B20&lt;&gt;0,INDEX(Perf.Sprint!$AM$4:$AM$40,MATCH(B20,Perf.Sprint!$B$4:$B$40,0)),"")</f>
        <v/>
      </c>
      <c r="E20" s="343" t="s">
        <v>149</v>
      </c>
      <c r="F20" s="344"/>
      <c r="G20" s="341" t="str">
        <f>IF(F20&lt;&gt;0,INDEX(Perf.Sprint!$C$4:$C$41,MATCH(F20,Perf.Sprint!$B$4:$B$41,0)),"")</f>
        <v/>
      </c>
      <c r="H20" s="342" t="str">
        <f t="array" ref="H20">IF(F20&lt;&gt;0,INDEX(Perf.Sprint!$AM$4:$AM$40,MATCH(F20,Perf.Sprint!$B$4:$B$40,0)),"")</f>
        <v/>
      </c>
      <c r="I20" s="345" t="str">
        <f>IF(B20&lt;&gt;0,INDEX(Perf.Sprint!$BJ$4:$BJ$40,MATCH(B20,Perf.Sprint!$B$4:$B$40,0)),"")</f>
        <v/>
      </c>
      <c r="J20" s="345" t="str">
        <f>IF(F20&lt;&gt;0,INDEX(Perf.Sprint!$BG$4:$BG$40,MATCH(F20,Perf.Sprint!$B$4:$B$40,0)),"")</f>
        <v/>
      </c>
      <c r="K20" s="346" t="str">
        <f t="shared" si="0"/>
        <v/>
      </c>
      <c r="L20" s="347" t="str">
        <f t="shared" si="1"/>
        <v/>
      </c>
      <c r="M20" s="342" t="str">
        <f t="shared" si="2"/>
        <v/>
      </c>
      <c r="N20" s="345" t="str">
        <f>IF(F20&lt;&gt;0,INDEX(Perf.Sprint!$BJ$4:$BJ$40,MATCH(F20,Perf.Sprint!$B$4:$B$40,0)),"")</f>
        <v/>
      </c>
      <c r="O20" s="345" t="str">
        <f>IF(B20&lt;&gt;0,INDEX(Perf.Sprint!$BG$4:$BG$40,MATCH(B20,Perf.Sprint!$B$4:$B$40,0)),"")</f>
        <v/>
      </c>
      <c r="P20" s="346" t="str">
        <f t="shared" si="3"/>
        <v/>
      </c>
      <c r="Q20" s="347" t="str">
        <f t="shared" si="4"/>
        <v/>
      </c>
      <c r="R20" s="348" t="str">
        <f t="shared" si="5"/>
        <v/>
      </c>
      <c r="S20" s="349" t="str">
        <f t="shared" si="6"/>
        <v/>
      </c>
      <c r="T20" s="350" t="str">
        <f t="shared" si="7"/>
        <v/>
      </c>
      <c r="U20" s="351">
        <v>17</v>
      </c>
      <c r="V20" s="352" t="str">
        <f t="array" aca="1" ref="V20" ca="1">IFERROR(IF(ROWS($4:20)&lt;=COUNTA($A$4:$A$29),INDEX($A$4:$A$29,SMALL(IF($A$4:$A$29&lt;&gt;"",ROW(INDIRECT("1:"&amp;ROWS($A$4:$A$29)))),ROWS($4:20))),""),"")</f>
        <v>Q</v>
      </c>
      <c r="W20" s="352" t="str">
        <f t="shared" ca="1" si="14"/>
        <v/>
      </c>
      <c r="X20" s="352" t="str">
        <f t="shared" ca="1" si="15"/>
        <v/>
      </c>
      <c r="Y20" s="351" t="str">
        <f ca="1">IFERROR(RANK($X20,$X$4:$X$29,0)+COUNTIF(X$4:X20,X20)-1,"")</f>
        <v/>
      </c>
      <c r="Z20" s="350"/>
      <c r="AA20" s="353" t="str">
        <f>IF(Liste!B19&lt;&gt;"",Liste!B19,"")</f>
        <v>Q</v>
      </c>
      <c r="AB20" s="354">
        <f t="shared" si="8"/>
        <v>0</v>
      </c>
      <c r="AC20" s="350"/>
      <c r="AD20" s="355" t="str">
        <f t="shared" ca="1" si="9"/>
        <v/>
      </c>
      <c r="AE20" s="355" t="str">
        <f t="shared" ca="1" si="16"/>
        <v/>
      </c>
      <c r="AF20" s="356" t="str">
        <f t="shared" ca="1" si="10"/>
        <v/>
      </c>
      <c r="AG20" s="356" t="str">
        <f t="array" aca="1" ref="AG20" ca="1">IF(AF20&lt;&gt;"",INDEX(Perf.Sprint!$C$4:$C$41,MATCH(AF20,Perf.Sprint!$B$4:$B$41,0)),"")</f>
        <v/>
      </c>
      <c r="AH20" s="356" t="str">
        <f t="shared" ca="1" si="11"/>
        <v/>
      </c>
      <c r="AI20" s="356" t="str">
        <f t="array" aca="1" ref="AI20" ca="1">IF(AH20&lt;&gt;"",INDEX(Perf.Sprint!$C$4:$C$41,MATCH(AH20,Perf.Sprint!$B$4:$B$41,0)),"")</f>
        <v/>
      </c>
      <c r="AJ20" s="357" t="str">
        <f t="shared" ca="1" si="12"/>
        <v/>
      </c>
      <c r="AK20" s="358" t="str">
        <f t="shared" ca="1" si="13"/>
        <v/>
      </c>
    </row>
    <row r="21" spans="1:37" ht="24" customHeight="1">
      <c r="A21" s="330" t="s">
        <v>163</v>
      </c>
      <c r="B21" s="359"/>
      <c r="C21" s="360" t="str">
        <f>IF(B21&lt;&gt;0,INDEX(Perf.Sprint!$C$4:$C$41,MATCH(B21,Perf.Sprint!$B$4:$B$41,0)),"")</f>
        <v/>
      </c>
      <c r="D21" s="361" t="str">
        <f t="array" ref="D21">IF(B21&lt;&gt;0,INDEX(Perf.Sprint!$AM$4:$AM$40,MATCH(B21,Perf.Sprint!$B$4:$B$40,0)),"")</f>
        <v/>
      </c>
      <c r="E21" s="343" t="s">
        <v>149</v>
      </c>
      <c r="F21" s="362"/>
      <c r="G21" s="360" t="str">
        <f>IF(F21&lt;&gt;0,INDEX(Perf.Sprint!$C$4:$C$41,MATCH(F21,Perf.Sprint!$B$4:$B$41,0)),"")</f>
        <v/>
      </c>
      <c r="H21" s="361" t="str">
        <f t="array" ref="H21">IF(F21&lt;&gt;0,INDEX(Perf.Sprint!$AM$4:$AM$40,MATCH(F21,Perf.Sprint!$B$4:$B$40,0)),"")</f>
        <v/>
      </c>
      <c r="I21" s="345" t="str">
        <f>IF(B21&lt;&gt;0,INDEX(Perf.Sprint!$BJ$4:$BJ$40,MATCH(B21,Perf.Sprint!$B$4:$B$40,0)),"")</f>
        <v/>
      </c>
      <c r="J21" s="345" t="str">
        <f>IF(F21&lt;&gt;0,INDEX(Perf.Sprint!$BG$4:$BG$40,MATCH(F21,Perf.Sprint!$B$4:$B$40,0)),"")</f>
        <v/>
      </c>
      <c r="K21" s="363" t="str">
        <f t="shared" si="0"/>
        <v/>
      </c>
      <c r="L21" s="364" t="str">
        <f t="shared" si="1"/>
        <v/>
      </c>
      <c r="M21" s="361" t="str">
        <f t="shared" si="2"/>
        <v/>
      </c>
      <c r="N21" s="345" t="str">
        <f>IF(F21&lt;&gt;0,INDEX(Perf.Sprint!$BJ$4:$BJ$40,MATCH(F21,Perf.Sprint!$B$4:$B$40,0)),"")</f>
        <v/>
      </c>
      <c r="O21" s="345" t="str">
        <f>IF(B21&lt;&gt;0,INDEX(Perf.Sprint!$BG$4:$BG$40,MATCH(B21,Perf.Sprint!$B$4:$B$40,0)),"")</f>
        <v/>
      </c>
      <c r="P21" s="363" t="str">
        <f t="shared" si="3"/>
        <v/>
      </c>
      <c r="Q21" s="364" t="str">
        <f t="shared" si="4"/>
        <v/>
      </c>
      <c r="R21" s="365" t="str">
        <f t="shared" si="5"/>
        <v/>
      </c>
      <c r="S21" s="349" t="str">
        <f t="shared" si="6"/>
        <v/>
      </c>
      <c r="T21" s="350" t="str">
        <f t="shared" si="7"/>
        <v/>
      </c>
      <c r="U21" s="351">
        <v>18</v>
      </c>
      <c r="V21" s="352" t="str">
        <f t="array" aca="1" ref="V21" ca="1">IFERROR(IF(ROWS($4:21)&lt;=COUNTA($A$4:$A$29),INDEX($A$4:$A$29,SMALL(IF($A$4:$A$29&lt;&gt;"",ROW(INDIRECT("1:"&amp;ROWS($A$4:$A$29)))),ROWS($4:21))),""),"")</f>
        <v>R</v>
      </c>
      <c r="W21" s="352" t="str">
        <f t="shared" ca="1" si="14"/>
        <v/>
      </c>
      <c r="X21" s="352" t="str">
        <f t="shared" ca="1" si="15"/>
        <v/>
      </c>
      <c r="Y21" s="351" t="str">
        <f ca="1">IFERROR(RANK($X21,$X$4:$X$29,0)+COUNTIF(X$4:X21,X21)-1,"")</f>
        <v/>
      </c>
      <c r="Z21" s="350"/>
      <c r="AA21" s="353" t="str">
        <f>IF(Liste!B20&lt;&gt;"",Liste!B20,"")</f>
        <v>R</v>
      </c>
      <c r="AB21" s="354">
        <f t="shared" si="8"/>
        <v>0</v>
      </c>
      <c r="AC21" s="350"/>
      <c r="AD21" s="366" t="str">
        <f t="shared" ca="1" si="9"/>
        <v/>
      </c>
      <c r="AE21" s="366" t="str">
        <f t="shared" ca="1" si="16"/>
        <v/>
      </c>
      <c r="AF21" s="367" t="str">
        <f t="shared" ca="1" si="10"/>
        <v/>
      </c>
      <c r="AG21" s="367" t="str">
        <f t="array" aca="1" ref="AG21" ca="1">IF(AF21&lt;&gt;"",INDEX(Perf.Sprint!$C$4:$C$41,MATCH(AF21,Perf.Sprint!$B$4:$B$41,0)),"")</f>
        <v/>
      </c>
      <c r="AH21" s="367" t="str">
        <f t="shared" ca="1" si="11"/>
        <v/>
      </c>
      <c r="AI21" s="367" t="str">
        <f t="array" aca="1" ref="AI21" ca="1">IF(AH21&lt;&gt;"",INDEX(Perf.Sprint!$C$4:$C$41,MATCH(AH21,Perf.Sprint!$B$4:$B$41,0)),"")</f>
        <v/>
      </c>
      <c r="AJ21" s="368" t="str">
        <f t="shared" ca="1" si="12"/>
        <v/>
      </c>
      <c r="AK21" s="369" t="str">
        <f t="shared" ca="1" si="13"/>
        <v/>
      </c>
    </row>
    <row r="22" spans="1:37" ht="24" customHeight="1">
      <c r="A22" s="330" t="s">
        <v>164</v>
      </c>
      <c r="B22" s="340"/>
      <c r="C22" s="341" t="str">
        <f>IF(B22&lt;&gt;0,INDEX(Perf.Sprint!$C$4:$C$41,MATCH(B22,Perf.Sprint!$B$4:$B$41,0)),"")</f>
        <v/>
      </c>
      <c r="D22" s="342" t="str">
        <f t="array" ref="D22">IF(B22&lt;&gt;0,INDEX(Perf.Sprint!$AM$4:$AM$40,MATCH(B22,Perf.Sprint!$B$4:$B$40,0)),"")</f>
        <v/>
      </c>
      <c r="E22" s="343" t="s">
        <v>149</v>
      </c>
      <c r="F22" s="344"/>
      <c r="G22" s="341" t="str">
        <f>IF(F22&lt;&gt;0,INDEX(Perf.Sprint!$C$4:$C$41,MATCH(F22,Perf.Sprint!$B$4:$B$41,0)),"")</f>
        <v/>
      </c>
      <c r="H22" s="342" t="str">
        <f t="array" ref="H22">IF(F22&lt;&gt;0,INDEX(Perf.Sprint!$AM$4:$AM$40,MATCH(F22,Perf.Sprint!$B$4:$B$40,0)),"")</f>
        <v/>
      </c>
      <c r="I22" s="345" t="str">
        <f>IF(B22&lt;&gt;0,INDEX(Perf.Sprint!$BJ$4:$BJ$40,MATCH(B22,Perf.Sprint!$B$4:$B$40,0)),"")</f>
        <v/>
      </c>
      <c r="J22" s="345" t="str">
        <f>IF(F22&lt;&gt;0,INDEX(Perf.Sprint!$BG$4:$BG$40,MATCH(F22,Perf.Sprint!$B$4:$B$40,0)),"")</f>
        <v/>
      </c>
      <c r="K22" s="346" t="str">
        <f t="shared" si="0"/>
        <v/>
      </c>
      <c r="L22" s="347" t="str">
        <f t="shared" si="1"/>
        <v/>
      </c>
      <c r="M22" s="342" t="str">
        <f t="shared" si="2"/>
        <v/>
      </c>
      <c r="N22" s="345" t="str">
        <f>IF(F22&lt;&gt;0,INDEX(Perf.Sprint!$BJ$4:$BJ$40,MATCH(F22,Perf.Sprint!$B$4:$B$40,0)),"")</f>
        <v/>
      </c>
      <c r="O22" s="345" t="str">
        <f>IF(B22&lt;&gt;0,INDEX(Perf.Sprint!$BG$4:$BG$40,MATCH(B22,Perf.Sprint!$B$4:$B$40,0)),"")</f>
        <v/>
      </c>
      <c r="P22" s="346" t="str">
        <f t="shared" si="3"/>
        <v/>
      </c>
      <c r="Q22" s="347" t="str">
        <f t="shared" si="4"/>
        <v/>
      </c>
      <c r="R22" s="348" t="str">
        <f t="shared" si="5"/>
        <v/>
      </c>
      <c r="S22" s="349" t="str">
        <f t="shared" si="6"/>
        <v/>
      </c>
      <c r="T22" s="350" t="str">
        <f t="shared" si="7"/>
        <v/>
      </c>
      <c r="U22" s="351">
        <v>19</v>
      </c>
      <c r="V22" s="352" t="str">
        <f t="array" aca="1" ref="V22" ca="1">IFERROR(IF(ROWS($4:22)&lt;=COUNTA($A$4:$A$29),INDEX($A$4:$A$29,SMALL(IF($A$4:$A$29&lt;&gt;"",ROW(INDIRECT("1:"&amp;ROWS($A$4:$A$29)))),ROWS($4:22))),""),"")</f>
        <v>S</v>
      </c>
      <c r="W22" s="352" t="str">
        <f t="shared" ca="1" si="14"/>
        <v/>
      </c>
      <c r="X22" s="352" t="str">
        <f t="shared" ca="1" si="15"/>
        <v/>
      </c>
      <c r="Y22" s="351" t="str">
        <f ca="1">IFERROR(RANK($X22,$X$4:$X$29,0)+COUNTIF(X$4:X22,X22)-1,"")</f>
        <v/>
      </c>
      <c r="Z22" s="330"/>
      <c r="AA22" s="353" t="str">
        <f>IF(Liste!B21&lt;&gt;"",Liste!B21,"")</f>
        <v>S</v>
      </c>
      <c r="AB22" s="354">
        <f t="shared" si="8"/>
        <v>0</v>
      </c>
      <c r="AC22" s="330"/>
      <c r="AD22" s="355" t="str">
        <f t="shared" ca="1" si="9"/>
        <v/>
      </c>
      <c r="AE22" s="355" t="str">
        <f t="shared" ca="1" si="16"/>
        <v/>
      </c>
      <c r="AF22" s="356" t="str">
        <f t="shared" ca="1" si="10"/>
        <v/>
      </c>
      <c r="AG22" s="356" t="str">
        <f t="array" aca="1" ref="AG22" ca="1">IF(AF22&lt;&gt;"",INDEX(Perf.Sprint!$C$4:$C$41,MATCH(AF22,Perf.Sprint!$B$4:$B$41,0)),"")</f>
        <v/>
      </c>
      <c r="AH22" s="356" t="str">
        <f t="shared" ca="1" si="11"/>
        <v/>
      </c>
      <c r="AI22" s="356" t="str">
        <f t="array" aca="1" ref="AI22" ca="1">IF(AH22&lt;&gt;"",INDEX(Perf.Sprint!$C$4:$C$41,MATCH(AH22,Perf.Sprint!$B$4:$B$41,0)),"")</f>
        <v/>
      </c>
      <c r="AJ22" s="357" t="str">
        <f t="shared" ca="1" si="12"/>
        <v/>
      </c>
      <c r="AK22" s="358" t="str">
        <f t="shared" ca="1" si="13"/>
        <v/>
      </c>
    </row>
    <row r="23" spans="1:37" ht="24" customHeight="1">
      <c r="A23" s="330" t="s">
        <v>165</v>
      </c>
      <c r="B23" s="359"/>
      <c r="C23" s="360" t="str">
        <f>IF(B23&lt;&gt;0,INDEX(Perf.Sprint!$C$4:$C$41,MATCH(B23,Perf.Sprint!$B$4:$B$41,0)),"")</f>
        <v/>
      </c>
      <c r="D23" s="361" t="str">
        <f t="array" ref="D23">IF(B23&lt;&gt;0,INDEX(Perf.Sprint!$AM$4:$AM$40,MATCH(B23,Perf.Sprint!$B$4:$B$40,0)),"")</f>
        <v/>
      </c>
      <c r="E23" s="343" t="s">
        <v>149</v>
      </c>
      <c r="F23" s="362"/>
      <c r="G23" s="360" t="str">
        <f>IF(F23&lt;&gt;0,INDEX(Perf.Sprint!$C$4:$C$41,MATCH(F23,Perf.Sprint!$B$4:$B$41,0)),"")</f>
        <v/>
      </c>
      <c r="H23" s="361" t="str">
        <f t="array" ref="H23">IF(F23&lt;&gt;0,INDEX(Perf.Sprint!$AM$4:$AM$40,MATCH(F23,Perf.Sprint!$B$4:$B$40,0)),"")</f>
        <v/>
      </c>
      <c r="I23" s="345" t="str">
        <f>IF(B23&lt;&gt;0,INDEX(Perf.Sprint!$BJ$4:$BJ$40,MATCH(B23,Perf.Sprint!$B$4:$B$40,0)),"")</f>
        <v/>
      </c>
      <c r="J23" s="345" t="str">
        <f>IF(F23&lt;&gt;0,INDEX(Perf.Sprint!$BG$4:$BG$40,MATCH(F23,Perf.Sprint!$B$4:$B$40,0)),"")</f>
        <v/>
      </c>
      <c r="K23" s="363" t="str">
        <f t="shared" si="0"/>
        <v/>
      </c>
      <c r="L23" s="364" t="str">
        <f t="shared" si="1"/>
        <v/>
      </c>
      <c r="M23" s="361" t="str">
        <f t="shared" si="2"/>
        <v/>
      </c>
      <c r="N23" s="345" t="str">
        <f>IF(F23&lt;&gt;0,INDEX(Perf.Sprint!$BJ$4:$BJ$40,MATCH(F23,Perf.Sprint!$B$4:$B$40,0)),"")</f>
        <v/>
      </c>
      <c r="O23" s="345" t="str">
        <f>IF(B23&lt;&gt;0,INDEX(Perf.Sprint!$BG$4:$BG$40,MATCH(B23,Perf.Sprint!$B$4:$B$40,0)),"")</f>
        <v/>
      </c>
      <c r="P23" s="363" t="str">
        <f t="shared" si="3"/>
        <v/>
      </c>
      <c r="Q23" s="364" t="str">
        <f t="shared" si="4"/>
        <v/>
      </c>
      <c r="R23" s="365" t="str">
        <f t="shared" si="5"/>
        <v/>
      </c>
      <c r="S23" s="349" t="str">
        <f t="shared" si="6"/>
        <v/>
      </c>
      <c r="T23" s="350" t="str">
        <f t="shared" si="7"/>
        <v/>
      </c>
      <c r="U23" s="351">
        <v>20</v>
      </c>
      <c r="V23" s="352" t="str">
        <f t="array" aca="1" ref="V23" ca="1">IFERROR(IF(ROWS($4:23)&lt;=COUNTA($A$4:$A$29),INDEX($A$4:$A$29,SMALL(IF($A$4:$A$29&lt;&gt;"",ROW(INDIRECT("1:"&amp;ROWS($A$4:$A$29)))),ROWS($4:23))),""),"")</f>
        <v>T</v>
      </c>
      <c r="W23" s="352" t="str">
        <f t="shared" ca="1" si="14"/>
        <v/>
      </c>
      <c r="X23" s="352" t="str">
        <f t="shared" ca="1" si="15"/>
        <v/>
      </c>
      <c r="Y23" s="351" t="str">
        <f ca="1">IFERROR(RANK($X23,$X$4:$X$29,0)+COUNTIF(X$4:X23,X23)-1,"")</f>
        <v/>
      </c>
      <c r="Z23" s="350"/>
      <c r="AA23" s="353" t="str">
        <f>IF(Liste!B22&lt;&gt;"",Liste!B22,"")</f>
        <v>T</v>
      </c>
      <c r="AB23" s="354">
        <f t="shared" si="8"/>
        <v>0</v>
      </c>
      <c r="AC23" s="350"/>
      <c r="AD23" s="366" t="str">
        <f t="shared" ca="1" si="9"/>
        <v/>
      </c>
      <c r="AE23" s="366" t="str">
        <f t="shared" ca="1" si="16"/>
        <v/>
      </c>
      <c r="AF23" s="367" t="str">
        <f t="shared" ca="1" si="10"/>
        <v/>
      </c>
      <c r="AG23" s="367" t="str">
        <f t="array" aca="1" ref="AG23" ca="1">IF(AF23&lt;&gt;"",INDEX(Perf.Sprint!$C$4:$C$41,MATCH(AF23,Perf.Sprint!$B$4:$B$41,0)),"")</f>
        <v/>
      </c>
      <c r="AH23" s="367" t="str">
        <f t="shared" ca="1" si="11"/>
        <v/>
      </c>
      <c r="AI23" s="367" t="str">
        <f t="array" aca="1" ref="AI23" ca="1">IF(AH23&lt;&gt;"",INDEX(Perf.Sprint!$C$4:$C$41,MATCH(AH23,Perf.Sprint!$B$4:$B$41,0)),"")</f>
        <v/>
      </c>
      <c r="AJ23" s="368" t="str">
        <f t="shared" ca="1" si="12"/>
        <v/>
      </c>
      <c r="AK23" s="369" t="str">
        <f t="shared" ca="1" si="13"/>
        <v/>
      </c>
    </row>
    <row r="24" spans="1:37" ht="24" customHeight="1">
      <c r="A24" s="330" t="s">
        <v>227</v>
      </c>
      <c r="B24" s="340"/>
      <c r="C24" s="341" t="str">
        <f>IF(B24&lt;&gt;0,INDEX(Perf.Sprint!$C$4:$C$41,MATCH(B24,Perf.Sprint!$B$4:$B$41,0)),"")</f>
        <v/>
      </c>
      <c r="D24" s="342" t="str">
        <f t="array" ref="D24">IF(B24&lt;&gt;0,INDEX(Perf.Sprint!$AM$4:$AM$40,MATCH(B24,Perf.Sprint!$B$4:$B$40,0)),"")</f>
        <v/>
      </c>
      <c r="E24" s="343" t="s">
        <v>149</v>
      </c>
      <c r="F24" s="344"/>
      <c r="G24" s="341" t="str">
        <f>IF(F24&lt;&gt;0,INDEX(Perf.Sprint!$C$4:$C$41,MATCH(F24,Perf.Sprint!$B$4:$B$41,0)),"")</f>
        <v/>
      </c>
      <c r="H24" s="342" t="str">
        <f t="array" ref="H24">IF(F24&lt;&gt;0,INDEX(Perf.Sprint!$AM$4:$AM$40,MATCH(F24,Perf.Sprint!$B$4:$B$40,0)),"")</f>
        <v/>
      </c>
      <c r="I24" s="345" t="str">
        <f>IF(B24&lt;&gt;0,INDEX(Perf.Sprint!$BJ$4:$BJ$40,MATCH(B24,Perf.Sprint!$B$4:$B$40,0)),"")</f>
        <v/>
      </c>
      <c r="J24" s="345" t="str">
        <f>IF(F24&lt;&gt;0,INDEX(Perf.Sprint!$BG$4:$BG$40,MATCH(F24,Perf.Sprint!$B$4:$B$40,0)),"")</f>
        <v/>
      </c>
      <c r="K24" s="346" t="str">
        <f t="shared" si="0"/>
        <v/>
      </c>
      <c r="L24" s="347" t="str">
        <f t="shared" si="1"/>
        <v/>
      </c>
      <c r="M24" s="342" t="str">
        <f t="shared" si="2"/>
        <v/>
      </c>
      <c r="N24" s="345" t="str">
        <f>IF(F24&lt;&gt;0,INDEX(Perf.Sprint!$BJ$4:$BJ$40,MATCH(F24,Perf.Sprint!$B$4:$B$40,0)),"")</f>
        <v/>
      </c>
      <c r="O24" s="345" t="str">
        <f>IF(B24&lt;&gt;0,INDEX(Perf.Sprint!$BG$4:$BG$40,MATCH(B24,Perf.Sprint!$B$4:$B$40,0)),"")</f>
        <v/>
      </c>
      <c r="P24" s="346" t="str">
        <f t="shared" si="3"/>
        <v/>
      </c>
      <c r="Q24" s="347" t="str">
        <f t="shared" si="4"/>
        <v/>
      </c>
      <c r="R24" s="348" t="str">
        <f t="shared" si="5"/>
        <v/>
      </c>
      <c r="S24" s="349" t="str">
        <f t="shared" si="6"/>
        <v/>
      </c>
      <c r="T24" s="350" t="str">
        <f t="shared" si="7"/>
        <v/>
      </c>
      <c r="U24" s="351">
        <v>21</v>
      </c>
      <c r="V24" s="352" t="str">
        <f t="array" aca="1" ref="V24" ca="1">IFERROR(IF(ROWS($4:24)&lt;=COUNTA($A$4:$A$29),INDEX($A$4:$A$29,SMALL(IF($A$4:$A$29&lt;&gt;"",ROW(INDIRECT("1:"&amp;ROWS($A$4:$A$29)))),ROWS($4:24))),""),"")</f>
        <v>U</v>
      </c>
      <c r="W24" s="352" t="str">
        <f t="shared" ca="1" si="14"/>
        <v/>
      </c>
      <c r="X24" s="352" t="str">
        <f t="shared" ca="1" si="15"/>
        <v/>
      </c>
      <c r="Y24" s="351" t="str">
        <f ca="1">IFERROR(RANK($X24,$X$4:$X$29,0)+COUNTIF(X$4:X24,X24)-1,"")</f>
        <v/>
      </c>
      <c r="Z24" s="350"/>
      <c r="AA24" s="353" t="str">
        <f>IF(Liste!B23&lt;&gt;"",Liste!B23,"")</f>
        <v>U</v>
      </c>
      <c r="AB24" s="354">
        <f t="shared" si="8"/>
        <v>0</v>
      </c>
      <c r="AC24" s="350"/>
      <c r="AD24" s="355" t="str">
        <f t="shared" ca="1" si="9"/>
        <v/>
      </c>
      <c r="AE24" s="355" t="str">
        <f t="shared" ca="1" si="16"/>
        <v/>
      </c>
      <c r="AF24" s="356" t="str">
        <f t="shared" ca="1" si="10"/>
        <v/>
      </c>
      <c r="AG24" s="356" t="str">
        <f t="array" aca="1" ref="AG24" ca="1">IF(AF24&lt;&gt;"",INDEX(Perf.Sprint!$C$4:$C$41,MATCH(AF24,Perf.Sprint!$B$4:$B$41,0)),"")</f>
        <v/>
      </c>
      <c r="AH24" s="356" t="str">
        <f t="shared" ca="1" si="11"/>
        <v/>
      </c>
      <c r="AI24" s="356" t="str">
        <f t="array" aca="1" ref="AI24" ca="1">IF(AH24&lt;&gt;"",INDEX(Perf.Sprint!$C$4:$C$41,MATCH(AH24,Perf.Sprint!$B$4:$B$41,0)),"")</f>
        <v/>
      </c>
      <c r="AJ24" s="357" t="str">
        <f t="shared" ca="1" si="12"/>
        <v/>
      </c>
      <c r="AK24" s="358" t="str">
        <f t="shared" ca="1" si="13"/>
        <v/>
      </c>
    </row>
    <row r="25" spans="1:37" ht="24" customHeight="1">
      <c r="A25" s="330" t="s">
        <v>228</v>
      </c>
      <c r="B25" s="603"/>
      <c r="C25" s="604" t="str">
        <f>IF(B25&lt;&gt;0,INDEX(Perf.Sprint!$C$4:$C$41,MATCH(B25,Perf.Sprint!$B$4:$B$41,0)),"")</f>
        <v/>
      </c>
      <c r="D25" s="605" t="str">
        <f t="array" ref="D25">IF(B25&lt;&gt;0,INDEX(Perf.Sprint!$AM$4:$AM$40,MATCH(B25,Perf.Sprint!$B$4:$B$40,0)),"")</f>
        <v/>
      </c>
      <c r="E25" s="606" t="s">
        <v>149</v>
      </c>
      <c r="F25" s="607"/>
      <c r="G25" s="604" t="str">
        <f>IF(F25&lt;&gt;0,INDEX(Perf.Sprint!$C$4:$C$41,MATCH(F25,Perf.Sprint!$B$4:$B$41,0)),"")</f>
        <v/>
      </c>
      <c r="H25" s="605" t="str">
        <f t="array" ref="H25">IF(F25&lt;&gt;0,INDEX(Perf.Sprint!$AM$4:$AM$40,MATCH(F25,Perf.Sprint!$B$4:$B$40,0)),"")</f>
        <v/>
      </c>
      <c r="I25" s="608" t="str">
        <f>IF(B25&lt;&gt;0,INDEX(Perf.Sprint!$BJ$4:$BJ$40,MATCH(B25,Perf.Sprint!$B$4:$B$40,0)),"")</f>
        <v/>
      </c>
      <c r="J25" s="608" t="str">
        <f>IF(F25&lt;&gt;0,INDEX(Perf.Sprint!$BG$4:$BG$40,MATCH(F25,Perf.Sprint!$B$4:$B$40,0)),"")</f>
        <v/>
      </c>
      <c r="K25" s="609" t="str">
        <f t="shared" si="0"/>
        <v/>
      </c>
      <c r="L25" s="610" t="str">
        <f t="shared" si="1"/>
        <v/>
      </c>
      <c r="M25" s="605" t="str">
        <f t="shared" si="2"/>
        <v/>
      </c>
      <c r="N25" s="608" t="str">
        <f>IF(F25&lt;&gt;0,INDEX(Perf.Sprint!$BJ$4:$BJ$40,MATCH(F25,Perf.Sprint!$B$4:$B$40,0)),"")</f>
        <v/>
      </c>
      <c r="O25" s="608" t="str">
        <f>IF(B25&lt;&gt;0,INDEX(Perf.Sprint!$BG$4:$BG$40,MATCH(B25,Perf.Sprint!$B$4:$B$40,0)),"")</f>
        <v/>
      </c>
      <c r="P25" s="609" t="str">
        <f t="shared" si="3"/>
        <v/>
      </c>
      <c r="Q25" s="610" t="str">
        <f t="shared" si="4"/>
        <v/>
      </c>
      <c r="R25" s="611" t="str">
        <f t="shared" si="5"/>
        <v/>
      </c>
      <c r="S25" s="349" t="str">
        <f t="shared" si="6"/>
        <v/>
      </c>
      <c r="T25" s="350" t="str">
        <f t="shared" si="7"/>
        <v/>
      </c>
      <c r="U25" s="351">
        <v>22</v>
      </c>
      <c r="V25" s="352" t="str">
        <f t="array" aca="1" ref="V25" ca="1">IFERROR(IF(ROWS($4:25)&lt;=COUNTA($A$4:$A$29),INDEX($A$4:$A$29,SMALL(IF($A$4:$A$29&lt;&gt;"",ROW(INDIRECT("1:"&amp;ROWS($A$4:$A$29)))),ROWS($4:25))),""),"")</f>
        <v>v</v>
      </c>
      <c r="W25" s="352" t="str">
        <f t="shared" ca="1" si="14"/>
        <v/>
      </c>
      <c r="X25" s="352" t="str">
        <f t="shared" ca="1" si="15"/>
        <v/>
      </c>
      <c r="Y25" s="351" t="str">
        <f ca="1">IFERROR(RANK($X25,$X$4:$X$29,0)+COUNTIF(X$4:X25,X25)-1,"")</f>
        <v/>
      </c>
      <c r="Z25" s="330"/>
      <c r="AA25" s="353" t="str">
        <f>IF(Liste!B24&lt;&gt;"",Liste!B24,"")</f>
        <v>V</v>
      </c>
      <c r="AB25" s="354">
        <f t="shared" si="8"/>
        <v>0</v>
      </c>
      <c r="AC25" s="330"/>
      <c r="AD25" s="612" t="str">
        <f t="shared" ca="1" si="9"/>
        <v/>
      </c>
      <c r="AE25" s="366" t="str">
        <f t="shared" ca="1" si="16"/>
        <v/>
      </c>
      <c r="AF25" s="367" t="str">
        <f t="shared" ca="1" si="10"/>
        <v/>
      </c>
      <c r="AG25" s="367" t="str">
        <f t="array" aca="1" ref="AG25" ca="1">IF(AF25&lt;&gt;"",INDEX(Perf.Sprint!$C$4:$C$41,MATCH(AF25,Perf.Sprint!$B$4:$B$41,0)),"")</f>
        <v/>
      </c>
      <c r="AH25" s="367" t="str">
        <f t="shared" ca="1" si="11"/>
        <v/>
      </c>
      <c r="AI25" s="367" t="str">
        <f t="array" aca="1" ref="AI25" ca="1">IF(AH25&lt;&gt;"",INDEX(Perf.Sprint!$C$4:$C$41,MATCH(AH25,Perf.Sprint!$B$4:$B$41,0)),"")</f>
        <v/>
      </c>
      <c r="AJ25" s="368" t="str">
        <f t="shared" ca="1" si="12"/>
        <v/>
      </c>
      <c r="AK25" s="369" t="str">
        <f t="shared" ca="1" si="13"/>
        <v/>
      </c>
    </row>
    <row r="26" spans="1:37" ht="24" customHeight="1">
      <c r="A26" s="321" t="s">
        <v>229</v>
      </c>
      <c r="B26" s="340"/>
      <c r="C26" s="341" t="str">
        <f>IF(B26&lt;&gt;0,INDEX(Perf.Sprint!$C$4:$C$41,MATCH(B26,Perf.Sprint!$B$4:$B$41,0)),"")</f>
        <v/>
      </c>
      <c r="D26" s="342" t="str">
        <f t="array" ref="D26">IF(B26&lt;&gt;0,INDEX(Perf.Sprint!$AM$4:$AM$40,MATCH(B26,Perf.Sprint!$B$4:$B$40,0)),"")</f>
        <v/>
      </c>
      <c r="E26" s="343" t="s">
        <v>149</v>
      </c>
      <c r="F26" s="344"/>
      <c r="G26" s="341" t="str">
        <f>IF(F26&lt;&gt;0,INDEX(Perf.Sprint!$C$4:$C$41,MATCH(F26,Perf.Sprint!$B$4:$B$41,0)),"")</f>
        <v/>
      </c>
      <c r="H26" s="342" t="str">
        <f t="array" ref="H26">IF(F26&lt;&gt;0,INDEX(Perf.Sprint!$AM$4:$AM$40,MATCH(F26,Perf.Sprint!$B$4:$B$40,0)),"")</f>
        <v/>
      </c>
      <c r="I26" s="345" t="str">
        <f>IF(B26&lt;&gt;0,INDEX(Perf.Sprint!$BJ$4:$BJ$40,MATCH(B26,Perf.Sprint!$B$4:$B$40,0)),"")</f>
        <v/>
      </c>
      <c r="J26" s="345" t="str">
        <f>IF(F26&lt;&gt;0,INDEX(Perf.Sprint!$BG$4:$BG$40,MATCH(F26,Perf.Sprint!$B$4:$B$40,0)),"")</f>
        <v/>
      </c>
      <c r="K26" s="346" t="str">
        <f t="shared" si="0"/>
        <v/>
      </c>
      <c r="L26" s="347" t="str">
        <f t="shared" si="1"/>
        <v/>
      </c>
      <c r="M26" s="342" t="str">
        <f t="shared" si="2"/>
        <v/>
      </c>
      <c r="N26" s="345" t="str">
        <f>IF(F26&lt;&gt;0,INDEX(Perf.Sprint!$BJ$4:$BJ$40,MATCH(F26,Perf.Sprint!$B$4:$B$40,0)),"")</f>
        <v/>
      </c>
      <c r="O26" s="345" t="str">
        <f>IF(B26&lt;&gt;0,INDEX(Perf.Sprint!$BG$4:$BG$40,MATCH(B26,Perf.Sprint!$B$4:$B$40,0)),"")</f>
        <v/>
      </c>
      <c r="P26" s="346" t="str">
        <f t="shared" si="3"/>
        <v/>
      </c>
      <c r="Q26" s="347" t="str">
        <f t="shared" si="4"/>
        <v/>
      </c>
      <c r="R26" s="348" t="str">
        <f t="shared" si="5"/>
        <v/>
      </c>
      <c r="S26" s="349" t="str">
        <f t="shared" si="6"/>
        <v/>
      </c>
      <c r="T26" s="350" t="str">
        <f t="shared" si="7"/>
        <v/>
      </c>
      <c r="U26" s="351">
        <v>23</v>
      </c>
      <c r="V26" s="352" t="str">
        <f t="array" aca="1" ref="V26" ca="1">IFERROR(IF(ROWS($4:26)&lt;=COUNTA($A$4:$A$29),INDEX($A$4:$A$29,SMALL(IF($A$4:$A$29&lt;&gt;"",ROW(INDIRECT("1:"&amp;ROWS($A$4:$A$29)))),ROWS($4:26))),""),"")</f>
        <v>W</v>
      </c>
      <c r="W26" s="352" t="str">
        <f t="shared" ca="1" si="14"/>
        <v/>
      </c>
      <c r="X26" s="352" t="str">
        <f t="shared" ca="1" si="15"/>
        <v/>
      </c>
      <c r="Y26" s="351" t="str">
        <f ca="1">IFERROR(RANK($X26,$X$4:$X$29,0)+COUNTIF(X$4:X26,X26)-1,"")</f>
        <v/>
      </c>
      <c r="Z26" s="350"/>
      <c r="AA26" s="353" t="str">
        <f>IF(Liste!B25&lt;&gt;"",Liste!B25,"")</f>
        <v>W</v>
      </c>
      <c r="AB26" s="354">
        <f t="shared" si="8"/>
        <v>0</v>
      </c>
      <c r="AC26" s="350"/>
      <c r="AD26" s="355" t="str">
        <f t="shared" ca="1" si="9"/>
        <v/>
      </c>
      <c r="AE26" s="355" t="str">
        <f t="shared" ca="1" si="16"/>
        <v/>
      </c>
      <c r="AF26" s="356" t="str">
        <f t="shared" ca="1" si="10"/>
        <v/>
      </c>
      <c r="AG26" s="356" t="str">
        <f t="array" aca="1" ref="AG26" ca="1">IF(AF26&lt;&gt;"",INDEX(Perf.Sprint!$C$4:$C$41,MATCH(AF26,Perf.Sprint!$B$4:$B$41,0)),"")</f>
        <v/>
      </c>
      <c r="AH26" s="356" t="str">
        <f t="shared" ca="1" si="11"/>
        <v/>
      </c>
      <c r="AI26" s="356" t="str">
        <f t="array" aca="1" ref="AI26" ca="1">IF(AH26&lt;&gt;"",INDEX(Perf.Sprint!$C$4:$C$41,MATCH(AH26,Perf.Sprint!$B$4:$B$41,0)),"")</f>
        <v/>
      </c>
      <c r="AJ26" s="357" t="str">
        <f t="shared" ca="1" si="12"/>
        <v/>
      </c>
      <c r="AK26" s="358" t="str">
        <f t="shared" ca="1" si="13"/>
        <v/>
      </c>
    </row>
    <row r="27" spans="1:37" ht="24" customHeight="1">
      <c r="A27" s="321" t="s">
        <v>230</v>
      </c>
      <c r="B27" s="603"/>
      <c r="C27" s="604" t="str">
        <f>IF(B27&lt;&gt;0,INDEX(Perf.Sprint!$C$4:$C$41,MATCH(B27,Perf.Sprint!$B$4:$B$41,0)),"")</f>
        <v/>
      </c>
      <c r="D27" s="605" t="str">
        <f t="array" ref="D27">IF(B27&lt;&gt;0,INDEX(Perf.Sprint!$AM$4:$AM$40,MATCH(B27,Perf.Sprint!$B$4:$B$40,0)),"")</f>
        <v/>
      </c>
      <c r="E27" s="606" t="s">
        <v>149</v>
      </c>
      <c r="F27" s="607"/>
      <c r="G27" s="604" t="str">
        <f>IF(F27&lt;&gt;0,INDEX(Perf.Sprint!$C$4:$C$41,MATCH(F27,Perf.Sprint!$B$4:$B$41,0)),"")</f>
        <v/>
      </c>
      <c r="H27" s="605" t="str">
        <f t="array" ref="H27">IF(F27&lt;&gt;0,INDEX(Perf.Sprint!$AM$4:$AM$40,MATCH(F27,Perf.Sprint!$B$4:$B$40,0)),"")</f>
        <v/>
      </c>
      <c r="I27" s="608" t="str">
        <f>IF(B27&lt;&gt;0,INDEX(Perf.Sprint!$BJ$4:$BJ$40,MATCH(B27,Perf.Sprint!$B$4:$B$40,0)),"")</f>
        <v/>
      </c>
      <c r="J27" s="608" t="str">
        <f>IF(F27&lt;&gt;0,INDEX(Perf.Sprint!$BG$4:$BG$40,MATCH(F27,Perf.Sprint!$B$4:$B$40,0)),"")</f>
        <v/>
      </c>
      <c r="K27" s="609" t="str">
        <f t="shared" si="0"/>
        <v/>
      </c>
      <c r="L27" s="610" t="str">
        <f t="shared" si="1"/>
        <v/>
      </c>
      <c r="M27" s="605" t="str">
        <f t="shared" si="2"/>
        <v/>
      </c>
      <c r="N27" s="608" t="str">
        <f>IF(F27&lt;&gt;0,INDEX(Perf.Sprint!$BJ$4:$BJ$40,MATCH(F27,Perf.Sprint!$B$4:$B$40,0)),"")</f>
        <v/>
      </c>
      <c r="O27" s="608" t="str">
        <f>IF(B27&lt;&gt;0,INDEX(Perf.Sprint!$BG$4:$BG$40,MATCH(B27,Perf.Sprint!$B$4:$B$40,0)),"")</f>
        <v/>
      </c>
      <c r="P27" s="609" t="str">
        <f t="shared" si="3"/>
        <v/>
      </c>
      <c r="Q27" s="610" t="str">
        <f t="shared" si="4"/>
        <v/>
      </c>
      <c r="R27" s="611" t="str">
        <f t="shared" si="5"/>
        <v/>
      </c>
      <c r="S27" s="349" t="str">
        <f t="shared" si="6"/>
        <v/>
      </c>
      <c r="T27" s="350" t="str">
        <f t="shared" si="7"/>
        <v/>
      </c>
      <c r="U27" s="351">
        <v>24</v>
      </c>
      <c r="V27" s="352" t="str">
        <f t="array" aca="1" ref="V27" ca="1">IFERROR(IF(ROWS($4:27)&lt;=COUNTA($A$4:$A$29),INDEX($A$4:$A$29,SMALL(IF($A$4:$A$29&lt;&gt;"",ROW(INDIRECT("1:"&amp;ROWS($A$4:$A$29)))),ROWS($4:27))),""),"")</f>
        <v>X</v>
      </c>
      <c r="W27" s="352" t="str">
        <f t="shared" ca="1" si="14"/>
        <v/>
      </c>
      <c r="X27" s="352" t="str">
        <f t="shared" ca="1" si="15"/>
        <v/>
      </c>
      <c r="Y27" s="351" t="str">
        <f ca="1">IFERROR(RANK($X27,$X$4:$X$29,0)+COUNTIF(X$4:X27,X27)-1,"")</f>
        <v/>
      </c>
      <c r="Z27" s="350"/>
      <c r="AA27" s="353" t="str">
        <f>IF(Liste!B26&lt;&gt;"",Liste!B26,"")</f>
        <v>X</v>
      </c>
      <c r="AB27" s="354">
        <f t="shared" si="8"/>
        <v>0</v>
      </c>
      <c r="AC27" s="350"/>
      <c r="AD27" s="612" t="str">
        <f t="shared" ca="1" si="9"/>
        <v/>
      </c>
      <c r="AE27" s="366" t="str">
        <f t="shared" ca="1" si="16"/>
        <v/>
      </c>
      <c r="AF27" s="367" t="str">
        <f t="shared" ca="1" si="10"/>
        <v/>
      </c>
      <c r="AG27" s="367" t="str">
        <f t="array" aca="1" ref="AG27" ca="1">IF(AF27&lt;&gt;"",INDEX(Perf.Sprint!$C$4:$C$41,MATCH(AF27,Perf.Sprint!$B$4:$B$41,0)),"")</f>
        <v/>
      </c>
      <c r="AH27" s="367" t="str">
        <f t="shared" ca="1" si="11"/>
        <v/>
      </c>
      <c r="AI27" s="367" t="str">
        <f t="array" aca="1" ref="AI27" ca="1">IF(AH27&lt;&gt;"",INDEX(Perf.Sprint!$C$4:$C$41,MATCH(AH27,Perf.Sprint!$B$4:$B$41,0)),"")</f>
        <v/>
      </c>
      <c r="AJ27" s="368" t="str">
        <f t="shared" ca="1" si="12"/>
        <v/>
      </c>
      <c r="AK27" s="369" t="str">
        <f t="shared" ca="1" si="13"/>
        <v/>
      </c>
    </row>
    <row r="28" spans="1:37" ht="24" customHeight="1">
      <c r="A28" s="321" t="s">
        <v>231</v>
      </c>
      <c r="B28" s="340"/>
      <c r="C28" s="341" t="str">
        <f>IF(B28&lt;&gt;0,INDEX(Perf.Sprint!$C$4:$C$41,MATCH(B28,Perf.Sprint!$B$4:$B$41,0)),"")</f>
        <v/>
      </c>
      <c r="D28" s="342" t="str">
        <f t="array" ref="D28">IF(B28&lt;&gt;0,INDEX(Perf.Sprint!$AM$4:$AM$40,MATCH(B28,Perf.Sprint!$B$4:$B$40,0)),"")</f>
        <v/>
      </c>
      <c r="E28" s="343" t="s">
        <v>149</v>
      </c>
      <c r="F28" s="344"/>
      <c r="G28" s="341" t="str">
        <f>IF(F28&lt;&gt;0,INDEX(Perf.Sprint!$C$4:$C$41,MATCH(F28,Perf.Sprint!$B$4:$B$41,0)),"")</f>
        <v/>
      </c>
      <c r="H28" s="342" t="str">
        <f t="array" ref="H28">IF(F28&lt;&gt;0,INDEX(Perf.Sprint!$AM$4:$AM$40,MATCH(F28,Perf.Sprint!$B$4:$B$40,0)),"")</f>
        <v/>
      </c>
      <c r="I28" s="345" t="str">
        <f>IF(B28&lt;&gt;0,INDEX(Perf.Sprint!$BJ$4:$BJ$40,MATCH(B28,Perf.Sprint!$B$4:$B$40,0)),"")</f>
        <v/>
      </c>
      <c r="J28" s="345" t="str">
        <f>IF(F28&lt;&gt;0,INDEX(Perf.Sprint!$BG$4:$BG$40,MATCH(F28,Perf.Sprint!$B$4:$B$40,0)),"")</f>
        <v/>
      </c>
      <c r="K28" s="346" t="str">
        <f t="shared" si="0"/>
        <v/>
      </c>
      <c r="L28" s="347" t="str">
        <f t="shared" si="1"/>
        <v/>
      </c>
      <c r="M28" s="342" t="str">
        <f t="shared" si="2"/>
        <v/>
      </c>
      <c r="N28" s="345" t="str">
        <f>IF(F28&lt;&gt;0,INDEX(Perf.Sprint!$BJ$4:$BJ$40,MATCH(F28,Perf.Sprint!$B$4:$B$40,0)),"")</f>
        <v/>
      </c>
      <c r="O28" s="345" t="str">
        <f>IF(B28&lt;&gt;0,INDEX(Perf.Sprint!$BG$4:$BG$40,MATCH(B28,Perf.Sprint!$B$4:$B$40,0)),"")</f>
        <v/>
      </c>
      <c r="P28" s="346" t="str">
        <f t="shared" si="3"/>
        <v/>
      </c>
      <c r="Q28" s="347" t="str">
        <f t="shared" si="4"/>
        <v/>
      </c>
      <c r="R28" s="348" t="str">
        <f t="shared" si="5"/>
        <v/>
      </c>
      <c r="S28" s="349" t="str">
        <f t="shared" si="6"/>
        <v/>
      </c>
      <c r="T28" s="350" t="str">
        <f t="shared" si="7"/>
        <v/>
      </c>
      <c r="U28" s="351">
        <v>25</v>
      </c>
      <c r="V28" s="352" t="str">
        <f t="array" aca="1" ref="V28" ca="1">IFERROR(IF(ROWS($4:28)&lt;=COUNTA($A$4:$A$29),INDEX($A$4:$A$29,SMALL(IF($A$4:$A$29&lt;&gt;"",ROW(INDIRECT("1:"&amp;ROWS($A$4:$A$29)))),ROWS($4:28))),""),"")</f>
        <v>Y</v>
      </c>
      <c r="W28" s="352" t="str">
        <f t="shared" ca="1" si="14"/>
        <v/>
      </c>
      <c r="X28" s="352" t="str">
        <f t="shared" ca="1" si="15"/>
        <v/>
      </c>
      <c r="Y28" s="351" t="str">
        <f ca="1">IFERROR(RANK($X28,$X$4:$X$29,0)+COUNTIF(X$4:X28,X28)-1,"")</f>
        <v/>
      </c>
      <c r="Z28" s="330"/>
      <c r="AA28" s="353" t="str">
        <f>IF(Liste!B27&lt;&gt;"",Liste!B27,"")</f>
        <v>Y</v>
      </c>
      <c r="AB28" s="354">
        <f t="shared" si="8"/>
        <v>0</v>
      </c>
      <c r="AC28" s="330"/>
      <c r="AD28" s="355" t="str">
        <f t="shared" ca="1" si="9"/>
        <v/>
      </c>
      <c r="AE28" s="355" t="str">
        <f t="shared" ca="1" si="16"/>
        <v/>
      </c>
      <c r="AF28" s="356" t="str">
        <f t="shared" ca="1" si="10"/>
        <v/>
      </c>
      <c r="AG28" s="356" t="str">
        <f t="array" aca="1" ref="AG28" ca="1">IF(AF28&lt;&gt;"",INDEX(Perf.Sprint!$C$4:$C$41,MATCH(AF28,Perf.Sprint!$B$4:$B$41,0)),"")</f>
        <v/>
      </c>
      <c r="AH28" s="356" t="str">
        <f t="shared" ca="1" si="11"/>
        <v/>
      </c>
      <c r="AI28" s="356" t="str">
        <f t="array" aca="1" ref="AI28" ca="1">IF(AH28&lt;&gt;"",INDEX(Perf.Sprint!$C$4:$C$41,MATCH(AH28,Perf.Sprint!$B$4:$B$41,0)),"")</f>
        <v/>
      </c>
      <c r="AJ28" s="357" t="str">
        <f t="shared" ca="1" si="12"/>
        <v/>
      </c>
      <c r="AK28" s="358" t="str">
        <f t="shared" ca="1" si="13"/>
        <v/>
      </c>
    </row>
    <row r="29" spans="1:37" ht="24" customHeight="1" thickBot="1">
      <c r="A29" s="321" t="s">
        <v>232</v>
      </c>
      <c r="B29" s="370"/>
      <c r="C29" s="371" t="str">
        <f>IF(B29&lt;&gt;0,INDEX(Perf.Sprint!$C$4:$C$41,MATCH(B29,Perf.Sprint!$B$4:$B$41,0)),"")</f>
        <v/>
      </c>
      <c r="D29" s="372" t="str">
        <f t="array" ref="D29">IF(B29&lt;&gt;0,INDEX(Perf.Sprint!$AM$4:$AM$40,MATCH(B29,Perf.Sprint!$B$4:$B$40,0)),"")</f>
        <v/>
      </c>
      <c r="E29" s="373" t="s">
        <v>149</v>
      </c>
      <c r="F29" s="374"/>
      <c r="G29" s="371" t="str">
        <f>IF(F29&lt;&gt;0,INDEX(Perf.Sprint!$C$4:$C$41,MATCH(F29,Perf.Sprint!$B$4:$B$41,0)),"")</f>
        <v/>
      </c>
      <c r="H29" s="372" t="str">
        <f t="array" ref="H29">IF(F29&lt;&gt;0,INDEX(Perf.Sprint!$AM$4:$AM$40,MATCH(F29,Perf.Sprint!$B$4:$B$40,0)),"")</f>
        <v/>
      </c>
      <c r="I29" s="375" t="str">
        <f>IF(B29&lt;&gt;0,INDEX(Perf.Sprint!$BJ$4:$BJ$40,MATCH(B29,Perf.Sprint!$B$4:$B$40,0)),"")</f>
        <v/>
      </c>
      <c r="J29" s="375" t="str">
        <f>IF(F29&lt;&gt;0,INDEX(Perf.Sprint!$BG$4:$BG$40,MATCH(F29,Perf.Sprint!$B$4:$B$40,0)),"")</f>
        <v/>
      </c>
      <c r="K29" s="376" t="str">
        <f t="shared" si="0"/>
        <v/>
      </c>
      <c r="L29" s="377" t="str">
        <f t="shared" si="1"/>
        <v/>
      </c>
      <c r="M29" s="372" t="str">
        <f t="shared" si="2"/>
        <v/>
      </c>
      <c r="N29" s="375" t="str">
        <f>IF(F29&lt;&gt;0,INDEX(Perf.Sprint!$BJ$4:$BJ$40,MATCH(F29,Perf.Sprint!$B$4:$B$40,0)),"")</f>
        <v/>
      </c>
      <c r="O29" s="375" t="str">
        <f>IF(B29&lt;&gt;0,INDEX(Perf.Sprint!$BG$4:$BG$40,MATCH(B29,Perf.Sprint!$B$4:$B$40,0)),"")</f>
        <v/>
      </c>
      <c r="P29" s="376" t="str">
        <f t="shared" si="3"/>
        <v/>
      </c>
      <c r="Q29" s="377" t="str">
        <f t="shared" si="4"/>
        <v/>
      </c>
      <c r="R29" s="378" t="str">
        <f t="shared" si="5"/>
        <v/>
      </c>
      <c r="S29" s="349" t="str">
        <f t="shared" si="6"/>
        <v/>
      </c>
      <c r="T29" s="350" t="str">
        <f t="shared" si="7"/>
        <v/>
      </c>
      <c r="U29" s="351">
        <v>26</v>
      </c>
      <c r="V29" s="352" t="str">
        <f t="array" aca="1" ref="V29" ca="1">IFERROR(IF(ROWS($4:29)&lt;=COUNTA($A$4:$A$29),INDEX($A$4:$A$29,SMALL(IF($A$4:$A$29&lt;&gt;"",ROW(INDIRECT("1:"&amp;ROWS($A$4:$A$29)))),ROWS($4:29))),""),"")</f>
        <v>Z</v>
      </c>
      <c r="W29" s="352" t="str">
        <f t="shared" ca="1" si="14"/>
        <v/>
      </c>
      <c r="X29" s="352" t="str">
        <f t="shared" ca="1" si="15"/>
        <v/>
      </c>
      <c r="Y29" s="351" t="str">
        <f ca="1">IFERROR(RANK($X29,$X$4:$X$29,0)+COUNTIF(X$4:X29,X29)-1,"")</f>
        <v/>
      </c>
      <c r="Z29" s="350"/>
      <c r="AA29" s="353" t="str">
        <f>IF(Liste!B28&lt;&gt;"",Liste!B28,"")</f>
        <v>Z</v>
      </c>
      <c r="AB29" s="354">
        <f t="shared" si="8"/>
        <v>0</v>
      </c>
      <c r="AC29" s="350"/>
      <c r="AD29" s="379" t="str">
        <f t="shared" ca="1" si="9"/>
        <v/>
      </c>
      <c r="AE29" s="614" t="str">
        <f t="shared" ca="1" si="16"/>
        <v/>
      </c>
      <c r="AF29" s="602" t="str">
        <f t="shared" ca="1" si="10"/>
        <v/>
      </c>
      <c r="AG29" s="380" t="str">
        <f t="array" aca="1" ref="AG29" ca="1">IF(AF29&lt;&gt;"",INDEX(Perf.Sprint!$C$4:$C$41,MATCH(AF29,Perf.Sprint!$B$4:$B$41,0)),"")</f>
        <v/>
      </c>
      <c r="AH29" s="380" t="str">
        <f t="shared" ca="1" si="11"/>
        <v/>
      </c>
      <c r="AI29" s="380" t="str">
        <f t="array" aca="1" ref="AI29" ca="1">IF(AH29&lt;&gt;"",INDEX(Perf.Sprint!$C$4:$C$41,MATCH(AH29,Perf.Sprint!$B$4:$B$41,0)),"")</f>
        <v/>
      </c>
      <c r="AJ29" s="381" t="str">
        <f t="shared" ca="1" si="12"/>
        <v/>
      </c>
      <c r="AK29" s="601" t="str">
        <f t="shared" ca="1" si="13"/>
        <v/>
      </c>
    </row>
    <row r="30" spans="1:37" ht="24" customHeight="1">
      <c r="A30" s="321"/>
      <c r="O30" s="382"/>
      <c r="P30" s="382"/>
      <c r="Q30" s="382"/>
      <c r="R30" s="382"/>
      <c r="S30" s="382"/>
      <c r="Y30" s="350"/>
      <c r="Z30" s="350"/>
      <c r="AA30" s="353" t="str">
        <f>IF(Liste!B29&lt;&gt;"",Liste!B29,"")</f>
        <v/>
      </c>
      <c r="AB30" s="354" t="str">
        <f t="shared" si="8"/>
        <v/>
      </c>
      <c r="AC30" s="350"/>
      <c r="AD30" s="330"/>
      <c r="AE30" s="330"/>
      <c r="AF30" s="330"/>
      <c r="AG30" s="330"/>
      <c r="AH30" s="330"/>
      <c r="AI30" s="330"/>
      <c r="AJ30" s="330"/>
      <c r="AK30" s="330"/>
    </row>
    <row r="31" spans="1:37" ht="24" customHeight="1">
      <c r="A31" s="321"/>
      <c r="O31" s="382"/>
      <c r="P31" s="382"/>
      <c r="Q31" s="382"/>
      <c r="R31" s="382"/>
      <c r="S31" s="382"/>
      <c r="Y31" s="330"/>
      <c r="Z31" s="330"/>
      <c r="AA31" s="353" t="str">
        <f>IF(Liste!B30&lt;&gt;"",Liste!B30,"")</f>
        <v/>
      </c>
      <c r="AB31" s="354" t="str">
        <f t="shared" si="8"/>
        <v/>
      </c>
      <c r="AC31" s="330"/>
      <c r="AD31" s="350"/>
      <c r="AE31" s="350"/>
      <c r="AF31" s="350"/>
      <c r="AG31" s="350"/>
      <c r="AH31" s="350"/>
      <c r="AI31" s="350"/>
      <c r="AJ31" s="350"/>
      <c r="AK31" s="350"/>
    </row>
    <row r="32" spans="1:37" ht="24" customHeight="1">
      <c r="A32" s="321"/>
      <c r="O32" s="382"/>
      <c r="P32" s="382"/>
      <c r="Q32" s="382"/>
      <c r="R32" s="382"/>
      <c r="S32" s="382"/>
      <c r="Y32" s="350"/>
      <c r="Z32" s="350"/>
      <c r="AA32" s="353" t="str">
        <f>IF(Liste!B31&lt;&gt;"",Liste!B31,"")</f>
        <v/>
      </c>
      <c r="AB32" s="354" t="str">
        <f t="shared" si="8"/>
        <v/>
      </c>
      <c r="AC32" s="350"/>
      <c r="AD32" s="350"/>
      <c r="AE32" s="350"/>
      <c r="AF32" s="350"/>
      <c r="AG32" s="350"/>
      <c r="AH32" s="350"/>
      <c r="AI32" s="350"/>
      <c r="AJ32" s="350"/>
      <c r="AK32" s="350"/>
    </row>
    <row r="33" spans="1:37" ht="24" customHeight="1">
      <c r="A33" s="321"/>
      <c r="O33" s="382"/>
      <c r="P33" s="382"/>
      <c r="Q33" s="382"/>
      <c r="R33" s="382"/>
      <c r="S33" s="382"/>
      <c r="Y33" s="350"/>
      <c r="Z33" s="350"/>
      <c r="AA33" s="353" t="str">
        <f>IF(Liste!B32&lt;&gt;"",Liste!B32,"")</f>
        <v/>
      </c>
      <c r="AB33" s="354" t="str">
        <f t="shared" si="8"/>
        <v/>
      </c>
      <c r="AC33" s="350"/>
      <c r="AD33" s="330"/>
      <c r="AE33" s="330"/>
      <c r="AF33" s="330"/>
      <c r="AG33" s="330"/>
      <c r="AH33" s="330"/>
      <c r="AI33" s="330"/>
      <c r="AJ33" s="330"/>
      <c r="AK33" s="330"/>
    </row>
    <row r="34" spans="1:37" ht="24" customHeight="1">
      <c r="A34" s="321"/>
      <c r="O34" s="382"/>
      <c r="P34" s="382"/>
      <c r="Q34" s="382"/>
      <c r="R34" s="382"/>
      <c r="S34" s="382"/>
      <c r="Y34" s="330"/>
      <c r="Z34" s="330"/>
      <c r="AA34" s="353" t="str">
        <f>IF(Liste!B33&lt;&gt;"",Liste!B33,"")</f>
        <v/>
      </c>
      <c r="AB34" s="354" t="str">
        <f t="shared" si="8"/>
        <v/>
      </c>
      <c r="AC34" s="330"/>
      <c r="AD34" s="350"/>
      <c r="AE34" s="350"/>
      <c r="AF34" s="350"/>
      <c r="AG34" s="350"/>
      <c r="AH34" s="350"/>
      <c r="AI34" s="350"/>
      <c r="AJ34" s="350"/>
      <c r="AK34" s="350"/>
    </row>
    <row r="35" spans="1:37" ht="24" customHeight="1">
      <c r="A35" s="321"/>
      <c r="O35" s="382"/>
      <c r="P35" s="382"/>
      <c r="Q35" s="382"/>
      <c r="R35" s="382"/>
      <c r="S35" s="382"/>
      <c r="Y35" s="350"/>
      <c r="Z35" s="350"/>
      <c r="AA35" s="353" t="str">
        <f>IF(Liste!B34&lt;&gt;"",Liste!B34,"")</f>
        <v/>
      </c>
      <c r="AB35" s="354" t="str">
        <f t="shared" si="8"/>
        <v/>
      </c>
      <c r="AC35" s="350"/>
      <c r="AD35" s="350"/>
      <c r="AE35" s="350"/>
      <c r="AF35" s="350"/>
      <c r="AG35" s="350"/>
      <c r="AH35" s="350"/>
      <c r="AI35" s="350"/>
      <c r="AJ35" s="350"/>
      <c r="AK35" s="350"/>
    </row>
    <row r="36" spans="1:37" ht="24" customHeight="1">
      <c r="A36" s="321"/>
      <c r="O36" s="382"/>
      <c r="P36" s="382"/>
      <c r="Q36" s="382"/>
      <c r="R36" s="382"/>
      <c r="S36" s="382"/>
      <c r="Y36" s="350"/>
      <c r="Z36" s="350"/>
      <c r="AA36" s="353" t="str">
        <f>IF(Liste!B35&lt;&gt;"",Liste!B35,"")</f>
        <v/>
      </c>
      <c r="AB36" s="354" t="str">
        <f t="shared" si="8"/>
        <v/>
      </c>
      <c r="AC36" s="350"/>
      <c r="AD36" s="330"/>
      <c r="AE36" s="330"/>
      <c r="AF36" s="330"/>
      <c r="AG36" s="330"/>
      <c r="AH36" s="330"/>
      <c r="AI36" s="330"/>
      <c r="AJ36" s="330"/>
      <c r="AK36" s="330"/>
    </row>
    <row r="37" spans="1:37" ht="24" customHeight="1">
      <c r="A37" s="321"/>
      <c r="O37" s="382"/>
      <c r="P37" s="382"/>
      <c r="Q37" s="382"/>
      <c r="R37" s="382"/>
      <c r="S37" s="382"/>
      <c r="Y37" s="330"/>
      <c r="Z37" s="330"/>
      <c r="AA37" s="353" t="str">
        <f>IF(Liste!B36&lt;&gt;"",Liste!B36,"")</f>
        <v/>
      </c>
      <c r="AB37" s="354" t="str">
        <f t="shared" si="8"/>
        <v/>
      </c>
      <c r="AC37" s="330"/>
      <c r="AD37" s="350"/>
      <c r="AE37" s="350"/>
      <c r="AF37" s="350"/>
      <c r="AG37" s="350"/>
      <c r="AH37" s="350"/>
      <c r="AI37" s="350"/>
      <c r="AJ37" s="350"/>
      <c r="AK37" s="350"/>
    </row>
    <row r="38" spans="1:37" ht="24" customHeight="1">
      <c r="A38" s="321"/>
      <c r="O38" s="382"/>
      <c r="P38" s="382"/>
      <c r="Q38" s="382"/>
      <c r="R38" s="382"/>
      <c r="S38" s="382"/>
      <c r="Y38" s="350"/>
      <c r="Z38" s="350"/>
      <c r="AA38" s="353" t="str">
        <f>IF(Liste!B37&lt;&gt;"",Liste!B37,"")</f>
        <v/>
      </c>
      <c r="AB38" s="354" t="str">
        <f t="shared" si="8"/>
        <v/>
      </c>
      <c r="AC38" s="350"/>
      <c r="AD38" s="350"/>
      <c r="AE38" s="350"/>
      <c r="AF38" s="350"/>
      <c r="AG38" s="350"/>
      <c r="AH38" s="350"/>
      <c r="AI38" s="350"/>
      <c r="AJ38" s="350"/>
      <c r="AK38" s="350"/>
    </row>
    <row r="39" spans="1:37" ht="24" customHeight="1">
      <c r="A39" s="321"/>
      <c r="O39" s="382"/>
      <c r="P39" s="382"/>
      <c r="Q39" s="382"/>
      <c r="R39" s="382"/>
      <c r="S39" s="382"/>
      <c r="Y39" s="350"/>
      <c r="Z39" s="350"/>
      <c r="AA39" s="353" t="str">
        <f>IF(Liste!B38&lt;&gt;"",Liste!B38,"")</f>
        <v/>
      </c>
      <c r="AB39" s="354" t="str">
        <f t="shared" si="8"/>
        <v/>
      </c>
      <c r="AC39" s="350"/>
      <c r="AD39" s="330"/>
      <c r="AE39" s="330"/>
      <c r="AF39" s="330"/>
      <c r="AG39" s="330"/>
      <c r="AH39" s="330"/>
      <c r="AI39" s="330"/>
      <c r="AJ39" s="330"/>
      <c r="AK39" s="330"/>
    </row>
    <row r="40" spans="1:37" ht="24" customHeight="1">
      <c r="A40" s="321"/>
      <c r="O40" s="382"/>
      <c r="P40" s="382"/>
      <c r="Q40" s="382"/>
      <c r="R40" s="382"/>
      <c r="S40" s="382"/>
      <c r="Y40" s="330"/>
      <c r="Z40" s="330"/>
      <c r="AA40" s="353" t="str">
        <f>IF(Liste!B39&lt;&gt;"",Liste!B39,"")</f>
        <v/>
      </c>
      <c r="AB40" s="354" t="str">
        <f t="shared" si="8"/>
        <v/>
      </c>
      <c r="AC40" s="330"/>
      <c r="AD40" s="350"/>
      <c r="AE40" s="350"/>
      <c r="AF40" s="350"/>
      <c r="AG40" s="350"/>
      <c r="AH40" s="350"/>
      <c r="AI40" s="350"/>
      <c r="AJ40" s="350"/>
      <c r="AK40" s="350"/>
    </row>
    <row r="41" spans="1:37" ht="24" customHeight="1">
      <c r="A41" s="321"/>
      <c r="O41" s="382"/>
      <c r="P41" s="382"/>
      <c r="Q41" s="382"/>
      <c r="R41" s="382"/>
      <c r="S41" s="382"/>
      <c r="Y41" s="350"/>
      <c r="Z41" s="350"/>
      <c r="AA41" s="353" t="str">
        <f>IF(Liste!B40&lt;&gt;"",Liste!B40,"")</f>
        <v/>
      </c>
      <c r="AB41" s="354" t="str">
        <f t="shared" si="8"/>
        <v/>
      </c>
      <c r="AC41" s="350"/>
      <c r="AD41" s="350"/>
      <c r="AE41" s="350"/>
      <c r="AF41" s="350"/>
      <c r="AG41" s="350"/>
      <c r="AH41" s="350"/>
      <c r="AI41" s="350"/>
      <c r="AJ41" s="350"/>
      <c r="AK41" s="350"/>
    </row>
    <row r="42" spans="1:37">
      <c r="A42" s="321"/>
      <c r="O42" s="382"/>
      <c r="P42" s="382"/>
      <c r="Q42" s="382"/>
      <c r="R42" s="382"/>
      <c r="S42" s="382"/>
      <c r="Y42" s="350"/>
      <c r="Z42" s="350"/>
      <c r="AA42" s="350"/>
      <c r="AB42" s="350"/>
      <c r="AC42" s="350"/>
      <c r="AD42" s="330"/>
      <c r="AE42" s="330"/>
      <c r="AF42" s="330"/>
      <c r="AG42" s="330"/>
      <c r="AH42" s="330"/>
      <c r="AI42" s="330"/>
      <c r="AJ42" s="330"/>
      <c r="AK42" s="330"/>
    </row>
    <row r="43" spans="1:37" hidden="1">
      <c r="A43" s="321"/>
      <c r="O43" s="382"/>
      <c r="P43" s="382"/>
      <c r="Q43" s="382"/>
      <c r="R43" s="382"/>
      <c r="S43" s="382"/>
      <c r="Y43" s="330"/>
      <c r="Z43" s="330"/>
      <c r="AA43" s="330"/>
      <c r="AB43" s="330"/>
      <c r="AC43" s="330"/>
      <c r="AD43" s="350"/>
      <c r="AE43" s="350"/>
      <c r="AF43" s="350"/>
      <c r="AG43" s="350"/>
      <c r="AH43" s="350"/>
      <c r="AI43" s="350"/>
      <c r="AJ43" s="350"/>
      <c r="AK43" s="350"/>
    </row>
    <row r="44" spans="1:37" hidden="1">
      <c r="A44" s="321"/>
      <c r="O44" s="382"/>
      <c r="P44" s="382"/>
      <c r="Q44" s="382"/>
      <c r="R44" s="382"/>
      <c r="S44" s="382"/>
      <c r="Y44" s="350"/>
      <c r="Z44" s="350"/>
      <c r="AA44" s="350"/>
      <c r="AB44" s="350"/>
      <c r="AC44" s="350"/>
      <c r="AD44" s="350"/>
      <c r="AE44" s="350"/>
      <c r="AF44" s="350"/>
      <c r="AG44" s="350"/>
      <c r="AH44" s="350"/>
      <c r="AI44" s="350"/>
      <c r="AJ44" s="350"/>
      <c r="AK44" s="350"/>
    </row>
    <row r="45" spans="1:37" hidden="1">
      <c r="A45" s="321"/>
      <c r="O45" s="382"/>
      <c r="P45" s="382"/>
      <c r="Q45" s="382"/>
      <c r="R45" s="382"/>
      <c r="S45" s="382"/>
      <c r="Y45" s="350"/>
      <c r="Z45" s="350"/>
      <c r="AA45" s="350"/>
      <c r="AB45" s="350"/>
      <c r="AC45" s="350"/>
      <c r="AD45" s="330"/>
      <c r="AE45" s="330"/>
      <c r="AF45" s="330"/>
      <c r="AG45" s="330"/>
      <c r="AH45" s="330"/>
      <c r="AI45" s="330"/>
      <c r="AJ45" s="330"/>
      <c r="AK45" s="330"/>
    </row>
    <row r="46" spans="1:37" hidden="1">
      <c r="A46" s="321"/>
      <c r="O46" s="382"/>
      <c r="P46" s="382"/>
      <c r="Q46" s="382"/>
      <c r="R46" s="382"/>
      <c r="S46" s="382"/>
      <c r="Y46" s="330"/>
      <c r="Z46" s="330"/>
      <c r="AA46" s="330"/>
      <c r="AB46" s="330"/>
      <c r="AC46" s="330"/>
      <c r="AD46" s="350"/>
      <c r="AE46" s="350"/>
      <c r="AF46" s="350"/>
      <c r="AG46" s="350"/>
      <c r="AH46" s="350"/>
      <c r="AI46" s="350"/>
      <c r="AJ46" s="350"/>
      <c r="AK46" s="350"/>
    </row>
    <row r="47" spans="1:37" hidden="1">
      <c r="A47" s="321"/>
      <c r="O47" s="382"/>
      <c r="P47" s="382"/>
      <c r="Q47" s="382"/>
      <c r="R47" s="382"/>
      <c r="S47" s="382"/>
      <c r="Y47" s="350"/>
      <c r="Z47" s="351">
        <v>1</v>
      </c>
      <c r="AA47" s="383" t="str">
        <f t="array" ref="AA47">IF($AB$2="non",IF(ROWS($2:2)&lt;=COUNTIF($AB$4:$AB$40,0),
INDEX($AA$4:$AA$40,SMALL(IF($AB$4:$AB$40=0,MATCH($AA$4:$AA$40,$AA$4:$AA$40,0)),ROWS($2:2))),""),AA4)</f>
        <v>A</v>
      </c>
      <c r="AB47" s="350"/>
      <c r="AC47" s="350"/>
      <c r="AD47" s="350"/>
      <c r="AE47" s="350"/>
      <c r="AF47" s="350"/>
      <c r="AG47" s="350"/>
      <c r="AH47" s="350"/>
      <c r="AI47" s="350"/>
      <c r="AJ47" s="350"/>
      <c r="AK47" s="350"/>
    </row>
    <row r="48" spans="1:37" hidden="1">
      <c r="A48" s="321"/>
      <c r="O48" s="382"/>
      <c r="P48" s="382"/>
      <c r="Q48" s="382"/>
      <c r="R48" s="382"/>
      <c r="S48" s="382"/>
      <c r="Y48" s="350"/>
      <c r="Z48" s="351">
        <v>2</v>
      </c>
      <c r="AA48" s="383" t="str">
        <f t="array" ref="AA48">IF($AB$2="non",IF(ROWS($2:3)&lt;=COUNTIF($AB$4:$AB$40,0),
INDEX($AA$4:$AA$40,SMALL(IF($AB$4:$AB$40=0,MATCH($AA$4:$AA$40,$AA$4:$AA$40,0)),ROWS($2:3))),""),AA5)</f>
        <v>B</v>
      </c>
      <c r="AB48" s="350"/>
      <c r="AC48" s="350"/>
      <c r="AD48" s="330"/>
      <c r="AE48" s="330"/>
      <c r="AF48" s="330"/>
      <c r="AG48" s="330"/>
      <c r="AH48" s="330"/>
      <c r="AI48" s="330"/>
      <c r="AJ48" s="330"/>
      <c r="AK48" s="330"/>
    </row>
    <row r="49" spans="1:37" hidden="1">
      <c r="A49" s="321"/>
      <c r="O49" s="382"/>
      <c r="P49" s="382"/>
      <c r="Q49" s="382"/>
      <c r="R49" s="382"/>
      <c r="S49" s="382"/>
      <c r="Y49" s="330"/>
      <c r="Z49" s="351">
        <v>3</v>
      </c>
      <c r="AA49" s="383" t="str">
        <f t="array" ref="AA49">IF($AB$2="non",IF(ROWS($2:4)&lt;=COUNTIF($AB$4:$AB$40,0),
INDEX($AA$4:$AA$40,SMALL(IF($AB$4:$AB$40=0,MATCH($AA$4:$AA$40,$AA$4:$AA$40,0)),ROWS($2:4))),""),AA6)</f>
        <v>C</v>
      </c>
      <c r="AB49" s="330"/>
      <c r="AC49" s="330"/>
      <c r="AD49" s="350"/>
      <c r="AE49" s="350"/>
      <c r="AF49" s="350"/>
      <c r="AG49" s="350"/>
      <c r="AH49" s="350"/>
      <c r="AI49" s="350"/>
      <c r="AJ49" s="350"/>
      <c r="AK49" s="350"/>
    </row>
    <row r="50" spans="1:37" hidden="1">
      <c r="A50" s="321"/>
      <c r="O50" s="382"/>
      <c r="P50" s="382"/>
      <c r="Q50" s="382"/>
      <c r="R50" s="382"/>
      <c r="S50" s="382"/>
      <c r="Y50" s="350"/>
      <c r="Z50" s="351">
        <v>4</v>
      </c>
      <c r="AA50" s="383" t="str">
        <f t="array" ref="AA50">IF($AB$2="non",IF(ROWS($2:5)&lt;=COUNTIF($AB$4:$AB$40,0),
INDEX($AA$4:$AA$40,SMALL(IF($AB$4:$AB$40=0,MATCH($AA$4:$AA$40,$AA$4:$AA$40,0)),ROWS($2:5))),""),AA7)</f>
        <v>D</v>
      </c>
      <c r="AB50" s="350"/>
      <c r="AC50" s="350"/>
      <c r="AD50" s="350"/>
      <c r="AE50" s="350"/>
      <c r="AF50" s="350"/>
      <c r="AG50" s="350"/>
      <c r="AH50" s="350"/>
      <c r="AI50" s="350"/>
      <c r="AJ50" s="350"/>
      <c r="AK50" s="350"/>
    </row>
    <row r="51" spans="1:37" hidden="1">
      <c r="A51" s="321"/>
      <c r="O51" s="382"/>
      <c r="P51" s="382"/>
      <c r="Q51" s="382"/>
      <c r="R51" s="382"/>
      <c r="S51" s="382"/>
      <c r="Y51" s="350"/>
      <c r="Z51" s="351">
        <v>5</v>
      </c>
      <c r="AA51" s="383" t="str">
        <f t="array" ref="AA51">IF($AB$2="non",IF(ROWS($2:6)&lt;=COUNTIF($AB$4:$AB$40,0),
INDEX($AA$4:$AA$40,SMALL(IF($AB$4:$AB$40=0,MATCH($AA$4:$AA$40,$AA$4:$AA$40,0)),ROWS($2:6))),""),AA8)</f>
        <v>E</v>
      </c>
      <c r="AB51" s="350"/>
      <c r="AC51" s="350"/>
      <c r="AD51" s="330"/>
      <c r="AE51" s="330"/>
      <c r="AF51" s="330"/>
      <c r="AG51" s="330"/>
      <c r="AH51" s="330"/>
      <c r="AI51" s="330"/>
      <c r="AJ51" s="330"/>
      <c r="AK51" s="330"/>
    </row>
    <row r="52" spans="1:37" hidden="1">
      <c r="A52" s="321"/>
      <c r="O52" s="382"/>
      <c r="P52" s="382"/>
      <c r="Q52" s="382"/>
      <c r="R52" s="382"/>
      <c r="S52" s="382"/>
      <c r="Y52" s="330"/>
      <c r="Z52" s="351">
        <v>6</v>
      </c>
      <c r="AA52" s="383" t="str">
        <f t="array" ref="AA52">IF($AB$2="non",IF(ROWS($2:7)&lt;=COUNTIF($AB$4:$AB$40,0),
INDEX($AA$4:$AA$40,SMALL(IF($AB$4:$AB$40=0,MATCH($AA$4:$AA$40,$AA$4:$AA$40,0)),ROWS($2:7))),""),AA9)</f>
        <v>F</v>
      </c>
      <c r="AB52" s="330"/>
      <c r="AC52" s="330"/>
      <c r="AD52" s="350"/>
      <c r="AE52" s="350"/>
      <c r="AF52" s="350"/>
      <c r="AG52" s="350"/>
      <c r="AH52" s="350"/>
      <c r="AI52" s="350"/>
      <c r="AJ52" s="350"/>
      <c r="AK52" s="350"/>
    </row>
    <row r="53" spans="1:37" hidden="1">
      <c r="A53" s="321"/>
      <c r="O53" s="382"/>
      <c r="P53" s="382"/>
      <c r="Q53" s="382"/>
      <c r="R53" s="382"/>
      <c r="S53" s="382"/>
      <c r="Y53" s="350"/>
      <c r="Z53" s="351">
        <v>7</v>
      </c>
      <c r="AA53" s="383" t="str">
        <f t="array" ref="AA53">IF($AB$2="non",IF(ROWS($2:8)&lt;=COUNTIF($AB$4:$AB$40,0),
INDEX($AA$4:$AA$40,SMALL(IF($AB$4:$AB$40=0,MATCH($AA$4:$AA$40,$AA$4:$AA$40,0)),ROWS($2:8))),""),AA10)</f>
        <v>G</v>
      </c>
      <c r="AB53" s="350"/>
      <c r="AC53" s="350"/>
      <c r="AD53" s="350"/>
      <c r="AE53" s="350"/>
      <c r="AF53" s="350"/>
      <c r="AG53" s="350"/>
      <c r="AH53" s="350"/>
      <c r="AI53" s="350"/>
      <c r="AJ53" s="350"/>
      <c r="AK53" s="350"/>
    </row>
    <row r="54" spans="1:37" hidden="1">
      <c r="A54" s="321"/>
      <c r="O54" s="382"/>
      <c r="P54" s="382"/>
      <c r="Q54" s="382"/>
      <c r="R54" s="382"/>
      <c r="S54" s="382"/>
      <c r="Y54" s="350"/>
      <c r="Z54" s="351">
        <v>8</v>
      </c>
      <c r="AA54" s="383" t="str">
        <f t="array" ref="AA54">IF($AB$2="non",IF(ROWS($2:9)&lt;=COUNTIF($AB$4:$AB$40,0),
INDEX($AA$4:$AA$40,SMALL(IF($AB$4:$AB$40=0,MATCH($AA$4:$AA$40,$AA$4:$AA$40,0)),ROWS($2:9))),""),AA11)</f>
        <v>H</v>
      </c>
      <c r="AB54" s="350"/>
      <c r="AC54" s="350"/>
      <c r="AD54" s="330"/>
      <c r="AE54" s="330"/>
      <c r="AF54" s="330"/>
      <c r="AG54" s="330"/>
      <c r="AH54" s="330"/>
      <c r="AI54" s="330"/>
      <c r="AJ54" s="330"/>
      <c r="AK54" s="330"/>
    </row>
    <row r="55" spans="1:37" hidden="1">
      <c r="A55" s="321"/>
      <c r="O55" s="382"/>
      <c r="P55" s="382"/>
      <c r="Q55" s="382"/>
      <c r="R55" s="382"/>
      <c r="S55" s="382"/>
      <c r="Y55" s="330"/>
      <c r="Z55" s="351">
        <v>9</v>
      </c>
      <c r="AA55" s="383" t="str">
        <f t="array" ref="AA55">IF($AB$2="non",IF(ROWS($2:10)&lt;=COUNTIF($AB$4:$AB$40,0),
INDEX($AA$4:$AA$40,SMALL(IF($AB$4:$AB$40=0,MATCH($AA$4:$AA$40,$AA$4:$AA$40,0)),ROWS($2:10))),""),AA12)</f>
        <v>I</v>
      </c>
      <c r="AB55" s="330"/>
      <c r="AC55" s="330"/>
      <c r="AD55" s="350"/>
      <c r="AE55" s="350"/>
      <c r="AF55" s="350"/>
      <c r="AG55" s="350"/>
      <c r="AH55" s="350"/>
      <c r="AI55" s="350"/>
      <c r="AJ55" s="350"/>
      <c r="AK55" s="350"/>
    </row>
    <row r="56" spans="1:37" hidden="1">
      <c r="A56" s="321"/>
      <c r="O56" s="382"/>
      <c r="P56" s="382"/>
      <c r="Q56" s="382"/>
      <c r="R56" s="382"/>
      <c r="S56" s="382"/>
      <c r="Y56" s="350"/>
      <c r="Z56" s="351">
        <v>10</v>
      </c>
      <c r="AA56" s="383" t="str">
        <f t="array" ref="AA56">IF($AB$2="non",IF(ROWS($2:11)&lt;=COUNTIF($AB$4:$AB$40,0),
INDEX($AA$4:$AA$40,SMALL(IF($AB$4:$AB$40=0,MATCH($AA$4:$AA$40,$AA$4:$AA$40,0)),ROWS($2:11))),""),AA13)</f>
        <v xml:space="preserve">J </v>
      </c>
      <c r="AB56" s="350"/>
      <c r="AC56" s="350"/>
      <c r="AD56" s="350"/>
      <c r="AE56" s="350"/>
      <c r="AF56" s="350"/>
      <c r="AG56" s="350"/>
      <c r="AH56" s="350"/>
      <c r="AI56" s="350"/>
      <c r="AJ56" s="350"/>
      <c r="AK56" s="350"/>
    </row>
    <row r="57" spans="1:37" hidden="1">
      <c r="A57" s="321"/>
      <c r="O57" s="382"/>
      <c r="P57" s="382"/>
      <c r="Q57" s="382"/>
      <c r="R57" s="382"/>
      <c r="S57" s="382"/>
      <c r="Y57" s="350"/>
      <c r="Z57" s="351">
        <v>11</v>
      </c>
      <c r="AA57" s="383" t="str">
        <f t="array" ref="AA57">IF($AB$2="non",IF(ROWS($2:12)&lt;=COUNTIF($AB$4:$AB$40,0),
INDEX($AA$4:$AA$40,SMALL(IF($AB$4:$AB$40=0,MATCH($AA$4:$AA$40,$AA$4:$AA$40,0)),ROWS($2:12))),""),AA14)</f>
        <v>K</v>
      </c>
      <c r="AB57" s="350"/>
      <c r="AC57" s="350"/>
      <c r="AD57" s="330"/>
      <c r="AE57" s="330"/>
      <c r="AF57" s="330"/>
      <c r="AG57" s="330"/>
      <c r="AH57" s="330"/>
      <c r="AI57" s="330"/>
      <c r="AJ57" s="330"/>
      <c r="AK57" s="330"/>
    </row>
    <row r="58" spans="1:37" hidden="1">
      <c r="A58" s="321"/>
      <c r="O58" s="382"/>
      <c r="P58" s="382"/>
      <c r="Q58" s="382"/>
      <c r="R58" s="382"/>
      <c r="S58" s="382"/>
      <c r="Y58" s="330"/>
      <c r="Z58" s="351">
        <v>12</v>
      </c>
      <c r="AA58" s="383" t="str">
        <f t="array" ref="AA58">IF($AB$2="non",IF(ROWS($2:13)&lt;=COUNTIF($AB$4:$AB$40,0),
INDEX($AA$4:$AA$40,SMALL(IF($AB$4:$AB$40=0,MATCH($AA$4:$AA$40,$AA$4:$AA$40,0)),ROWS($2:13))),""),AA15)</f>
        <v>L</v>
      </c>
      <c r="AB58" s="330"/>
      <c r="AC58" s="330"/>
      <c r="AD58" s="350"/>
      <c r="AE58" s="350"/>
      <c r="AF58" s="350"/>
      <c r="AG58" s="350"/>
      <c r="AH58" s="350"/>
      <c r="AI58" s="350"/>
      <c r="AJ58" s="350"/>
      <c r="AK58" s="350"/>
    </row>
    <row r="59" spans="1:37" hidden="1">
      <c r="A59" s="321"/>
      <c r="O59" s="382"/>
      <c r="P59" s="382"/>
      <c r="Q59" s="382"/>
      <c r="R59" s="382"/>
      <c r="S59" s="382"/>
      <c r="Y59" s="350"/>
      <c r="Z59" s="351">
        <v>13</v>
      </c>
      <c r="AA59" s="383" t="str">
        <f t="array" ref="AA59">IF($AB$2="non",IF(ROWS($2:14)&lt;=COUNTIF($AB$4:$AB$40,0),
INDEX($AA$4:$AA$40,SMALL(IF($AB$4:$AB$40=0,MATCH($AA$4:$AA$40,$AA$4:$AA$40,0)),ROWS($2:14))),""),AA16)</f>
        <v>M</v>
      </c>
      <c r="AB59" s="350"/>
      <c r="AC59" s="350"/>
      <c r="AD59" s="350"/>
      <c r="AE59" s="350"/>
      <c r="AF59" s="350"/>
      <c r="AG59" s="350"/>
      <c r="AH59" s="350"/>
      <c r="AI59" s="350"/>
      <c r="AJ59" s="350"/>
      <c r="AK59" s="350"/>
    </row>
    <row r="60" spans="1:37" hidden="1">
      <c r="A60" s="321"/>
      <c r="O60" s="382"/>
      <c r="P60" s="382"/>
      <c r="Q60" s="382"/>
      <c r="R60" s="382"/>
      <c r="S60" s="382"/>
      <c r="Y60" s="350"/>
      <c r="Z60" s="351">
        <v>14</v>
      </c>
      <c r="AA60" s="383" t="str">
        <f t="array" ref="AA60">IF($AB$2="non",IF(ROWS($2:15)&lt;=COUNTIF($AB$4:$AB$40,0),
INDEX($AA$4:$AA$40,SMALL(IF($AB$4:$AB$40=0,MATCH($AA$4:$AA$40,$AA$4:$AA$40,0)),ROWS($2:15))),""),AA17)</f>
        <v>N</v>
      </c>
      <c r="AB60" s="350"/>
      <c r="AC60" s="350"/>
      <c r="AD60" s="330"/>
      <c r="AE60" s="330"/>
      <c r="AF60" s="330"/>
      <c r="AG60" s="330"/>
      <c r="AH60" s="330"/>
      <c r="AI60" s="330"/>
      <c r="AJ60" s="330"/>
      <c r="AK60" s="330"/>
    </row>
    <row r="61" spans="1:37" hidden="1">
      <c r="A61" s="321"/>
      <c r="O61" s="382"/>
      <c r="P61" s="382"/>
      <c r="Q61" s="382"/>
      <c r="R61" s="382"/>
      <c r="S61" s="382"/>
      <c r="Y61" s="330"/>
      <c r="Z61" s="351">
        <v>15</v>
      </c>
      <c r="AA61" s="383" t="str">
        <f t="array" ref="AA61">IF($AB$2="non",IF(ROWS($2:16)&lt;=COUNTIF($AB$4:$AB$40,0),
INDEX($AA$4:$AA$40,SMALL(IF($AB$4:$AB$40=0,MATCH($AA$4:$AA$40,$AA$4:$AA$40,0)),ROWS($2:16))),""),AA18)</f>
        <v>O</v>
      </c>
      <c r="AB61" s="330"/>
      <c r="AC61" s="330"/>
      <c r="AD61" s="350"/>
      <c r="AE61" s="350"/>
      <c r="AF61" s="350"/>
      <c r="AG61" s="350"/>
      <c r="AH61" s="350"/>
      <c r="AI61" s="350"/>
      <c r="AJ61" s="350"/>
      <c r="AK61" s="350"/>
    </row>
    <row r="62" spans="1:37" hidden="1">
      <c r="A62" s="321"/>
      <c r="O62" s="382"/>
      <c r="P62" s="382"/>
      <c r="Q62" s="382"/>
      <c r="R62" s="382"/>
      <c r="S62" s="382"/>
      <c r="Y62" s="350"/>
      <c r="Z62" s="351">
        <v>16</v>
      </c>
      <c r="AA62" s="383" t="str">
        <f t="array" ref="AA62">IF($AB$2="non",IF(ROWS($2:17)&lt;=COUNTIF($AB$4:$AB$40,0),
INDEX($AA$4:$AA$40,SMALL(IF($AB$4:$AB$40=0,MATCH($AA$4:$AA$40,$AA$4:$AA$40,0)),ROWS($2:17))),""),AA19)</f>
        <v>P</v>
      </c>
      <c r="AB62" s="350"/>
      <c r="AC62" s="350"/>
      <c r="AD62" s="350"/>
      <c r="AE62" s="350"/>
      <c r="AF62" s="350"/>
      <c r="AG62" s="350"/>
      <c r="AH62" s="350"/>
      <c r="AI62" s="350"/>
      <c r="AJ62" s="350"/>
      <c r="AK62" s="350"/>
    </row>
    <row r="63" spans="1:37" hidden="1">
      <c r="A63" s="321"/>
      <c r="O63" s="382"/>
      <c r="P63" s="382"/>
      <c r="Q63" s="382"/>
      <c r="R63" s="382"/>
      <c r="S63" s="382"/>
      <c r="Y63" s="350"/>
      <c r="Z63" s="351">
        <v>17</v>
      </c>
      <c r="AA63" s="383" t="str">
        <f t="array" ref="AA63">IF($AB$2="non",IF(ROWS($2:18)&lt;=COUNTIF($AB$4:$AB$40,0),
INDEX($AA$4:$AA$40,SMALL(IF($AB$4:$AB$40=0,MATCH($AA$4:$AA$40,$AA$4:$AA$40,0)),ROWS($2:18))),""),AA20)</f>
        <v>Q</v>
      </c>
      <c r="AB63" s="350"/>
      <c r="AC63" s="350"/>
    </row>
    <row r="64" spans="1:37" hidden="1">
      <c r="A64" s="321"/>
      <c r="O64" s="382"/>
      <c r="P64" s="382"/>
      <c r="Q64" s="382"/>
      <c r="R64" s="382"/>
      <c r="S64" s="382"/>
      <c r="Z64" s="351">
        <v>18</v>
      </c>
      <c r="AA64" s="383" t="str">
        <f t="array" ref="AA64">IF($AB$2="non",IF(ROWS($2:19)&lt;=COUNTIF($AB$4:$AB$40,0),
INDEX($AA$4:$AA$40,SMALL(IF($AB$4:$AB$40=0,MATCH($AA$4:$AA$40,$AA$4:$AA$40,0)),ROWS($2:19))),""),AA21)</f>
        <v>R</v>
      </c>
    </row>
    <row r="65" spans="1:27" hidden="1">
      <c r="A65" s="321"/>
      <c r="O65" s="382"/>
      <c r="P65" s="382"/>
      <c r="Q65" s="382"/>
      <c r="R65" s="382"/>
      <c r="S65" s="382"/>
      <c r="Z65" s="351">
        <v>19</v>
      </c>
      <c r="AA65" s="383" t="str">
        <f t="array" ref="AA65">IF($AB$2="non",IF(ROWS($2:20)&lt;=COUNTIF($AB$4:$AB$40,0),
INDEX($AA$4:$AA$40,SMALL(IF($AB$4:$AB$40=0,MATCH($AA$4:$AA$40,$AA$4:$AA$40,0)),ROWS($2:20))),""),AA22)</f>
        <v>S</v>
      </c>
    </row>
    <row r="66" spans="1:27" hidden="1">
      <c r="A66" s="321"/>
      <c r="O66" s="382"/>
      <c r="P66" s="382"/>
      <c r="Q66" s="382"/>
      <c r="R66" s="382"/>
      <c r="S66" s="382"/>
      <c r="Z66" s="351">
        <v>20</v>
      </c>
      <c r="AA66" s="383" t="str">
        <f t="array" ref="AA66">IF($AB$2="non",IF(ROWS($2:21)&lt;=COUNTIF($AB$4:$AB$40,0),
INDEX($AA$4:$AA$40,SMALL(IF($AB$4:$AB$40=0,MATCH($AA$4:$AA$40,$AA$4:$AA$40,0)),ROWS($2:21))),""),AA23)</f>
        <v>T</v>
      </c>
    </row>
    <row r="67" spans="1:27" hidden="1">
      <c r="A67" s="321"/>
      <c r="O67" s="382"/>
      <c r="P67" s="382"/>
      <c r="Q67" s="382"/>
      <c r="R67" s="382"/>
      <c r="S67" s="382"/>
      <c r="Z67" s="351">
        <v>21</v>
      </c>
      <c r="AA67" s="383" t="str">
        <f t="array" ref="AA67">IF($AB$2="non",IF(ROWS($2:22)&lt;=COUNTIF($AB$4:$AB$40,0),
INDEX($AA$4:$AA$40,SMALL(IF($AB$4:$AB$40=0,MATCH($AA$4:$AA$40,$AA$4:$AA$40,0)),ROWS($2:22))),""),AA24)</f>
        <v>U</v>
      </c>
    </row>
    <row r="68" spans="1:27" hidden="1">
      <c r="A68" s="321"/>
      <c r="O68" s="382"/>
      <c r="P68" s="382"/>
      <c r="Q68" s="382"/>
      <c r="R68" s="382"/>
      <c r="S68" s="382"/>
      <c r="Z68" s="351">
        <v>22</v>
      </c>
      <c r="AA68" s="383" t="str">
        <f t="array" ref="AA68">IF($AB$2="non",IF(ROWS($2:23)&lt;=COUNTIF($AB$4:$AB$40,0),
INDEX($AA$4:$AA$40,SMALL(IF($AB$4:$AB$40=0,MATCH($AA$4:$AA$40,$AA$4:$AA$40,0)),ROWS($2:23))),""),AA25)</f>
        <v>V</v>
      </c>
    </row>
    <row r="69" spans="1:27" hidden="1">
      <c r="A69" s="321"/>
      <c r="O69" s="382"/>
      <c r="P69" s="382"/>
      <c r="Q69" s="382"/>
      <c r="R69" s="382"/>
      <c r="S69" s="382"/>
      <c r="Z69" s="351">
        <v>23</v>
      </c>
      <c r="AA69" s="383" t="str">
        <f t="array" ref="AA69">IF($AB$2="non",IF(ROWS($2:24)&lt;=COUNTIF($AB$4:$AB$40,0),
INDEX($AA$4:$AA$40,SMALL(IF($AB$4:$AB$40=0,MATCH($AA$4:$AA$40,$AA$4:$AA$40,0)),ROWS($2:24))),""),AA26)</f>
        <v>W</v>
      </c>
    </row>
    <row r="70" spans="1:27" hidden="1">
      <c r="A70" s="321"/>
      <c r="O70" s="382"/>
      <c r="P70" s="382"/>
      <c r="Q70" s="382"/>
      <c r="R70" s="382"/>
      <c r="S70" s="382"/>
      <c r="Z70" s="351">
        <v>24</v>
      </c>
      <c r="AA70" s="383" t="str">
        <f t="array" ref="AA70">IF($AB$2="non",IF(ROWS($2:25)&lt;=COUNTIF($AB$4:$AB$40,0),
INDEX($AA$4:$AA$40,SMALL(IF($AB$4:$AB$40=0,MATCH($AA$4:$AA$40,$AA$4:$AA$40,0)),ROWS($2:25))),""),AA27)</f>
        <v>X</v>
      </c>
    </row>
    <row r="71" spans="1:27" hidden="1">
      <c r="A71" s="321"/>
      <c r="O71" s="382"/>
      <c r="P71" s="382"/>
      <c r="Q71" s="382"/>
      <c r="R71" s="382"/>
      <c r="S71" s="382"/>
      <c r="Z71" s="351">
        <v>25</v>
      </c>
      <c r="AA71" s="383" t="str">
        <f t="array" ref="AA71">IF($AB$2="non",IF(ROWS($2:26)&lt;=COUNTIF($AB$4:$AB$40,0),
INDEX($AA$4:$AA$40,SMALL(IF($AB$4:$AB$40=0,MATCH($AA$4:$AA$40,$AA$4:$AA$40,0)),ROWS($2:26))),""),AA28)</f>
        <v>Y</v>
      </c>
    </row>
    <row r="72" spans="1:27" hidden="1">
      <c r="A72" s="321"/>
      <c r="O72" s="382"/>
      <c r="P72" s="382"/>
      <c r="Q72" s="382"/>
      <c r="R72" s="382"/>
      <c r="S72" s="382"/>
      <c r="Z72" s="351">
        <v>26</v>
      </c>
      <c r="AA72" s="383" t="str">
        <f t="array" ref="AA72">IF($AB$2="non",IF(ROWS($2:27)&lt;=COUNTIF($AB$4:$AB$40,0),
INDEX($AA$4:$AA$40,SMALL(IF($AB$4:$AB$40=0,MATCH($AA$4:$AA$40,$AA$4:$AA$40,0)),ROWS($2:27))),""),AA29)</f>
        <v>Z</v>
      </c>
    </row>
    <row r="73" spans="1:27" hidden="1">
      <c r="A73" s="321"/>
      <c r="O73" s="382"/>
      <c r="P73" s="382"/>
      <c r="Q73" s="382"/>
      <c r="R73" s="382"/>
      <c r="S73" s="382"/>
      <c r="Z73" s="351">
        <v>27</v>
      </c>
      <c r="AA73" s="383" t="str">
        <f t="array" ref="AA73">IF($AB$2="non",IF(ROWS($2:28)&lt;=COUNTIF($AB$4:$AB$40,0),
INDEX($AA$4:$AA$40,SMALL(IF($AB$4:$AB$40=0,MATCH($AA$4:$AA$40,$AA$4:$AA$40,0)),ROWS($2:28))),""),AA30)</f>
        <v/>
      </c>
    </row>
    <row r="74" spans="1:27" hidden="1">
      <c r="A74" s="321"/>
      <c r="O74" s="382"/>
      <c r="P74" s="382"/>
      <c r="Q74" s="382"/>
      <c r="R74" s="382"/>
      <c r="S74" s="382"/>
      <c r="Z74" s="351">
        <v>28</v>
      </c>
      <c r="AA74" s="383" t="str">
        <f t="array" ref="AA74">IF($AB$2="non",IF(ROWS($2:29)&lt;=COUNTIF($AB$4:$AB$40,0),
INDEX($AA$4:$AA$40,SMALL(IF($AB$4:$AB$40=0,MATCH($AA$4:$AA$40,$AA$4:$AA$40,0)),ROWS($2:29))),""),AA31)</f>
        <v/>
      </c>
    </row>
    <row r="75" spans="1:27" hidden="1">
      <c r="A75" s="321"/>
      <c r="O75" s="382"/>
      <c r="P75" s="382"/>
      <c r="Q75" s="382"/>
      <c r="R75" s="382"/>
      <c r="S75" s="382"/>
      <c r="Z75" s="351">
        <v>29</v>
      </c>
      <c r="AA75" s="383" t="str">
        <f t="array" ref="AA75">IF($AB$2="non",IF(ROWS($2:30)&lt;=COUNTIF($AB$4:$AB$40,0),
INDEX($AA$4:$AA$40,SMALL(IF($AB$4:$AB$40=0,MATCH($AA$4:$AA$40,$AA$4:$AA$40,0)),ROWS($2:30))),""),AA32)</f>
        <v/>
      </c>
    </row>
    <row r="76" spans="1:27" hidden="1">
      <c r="A76" s="321"/>
      <c r="O76" s="382"/>
      <c r="P76" s="382"/>
      <c r="Q76" s="382"/>
      <c r="R76" s="382"/>
      <c r="S76" s="382"/>
      <c r="Z76" s="351">
        <v>30</v>
      </c>
      <c r="AA76" s="383" t="str">
        <f t="array" ref="AA76">IF($AB$2="non",IF(ROWS($2:31)&lt;=COUNTIF($AB$4:$AB$40,0),
INDEX($AA$4:$AA$40,SMALL(IF($AB$4:$AB$40=0,MATCH($AA$4:$AA$40,$AA$4:$AA$40,0)),ROWS($2:31))),""),AA33)</f>
        <v/>
      </c>
    </row>
    <row r="77" spans="1:27" hidden="1">
      <c r="A77" s="321"/>
      <c r="O77" s="382"/>
      <c r="P77" s="382"/>
      <c r="Q77" s="382"/>
      <c r="R77" s="382"/>
      <c r="S77" s="382"/>
      <c r="Z77" s="351">
        <v>31</v>
      </c>
      <c r="AA77" s="383" t="str">
        <f t="array" ref="AA77">IF($AB$2="non",IF(ROWS($2:32)&lt;=COUNTIF($AB$4:$AB$40,0),
INDEX($AA$4:$AA$40,SMALL(IF($AB$4:$AB$40=0,MATCH($AA$4:$AA$40,$AA$4:$AA$40,0)),ROWS($2:32))),""),AA34)</f>
        <v/>
      </c>
    </row>
    <row r="78" spans="1:27" hidden="1">
      <c r="A78" s="321"/>
      <c r="O78" s="382"/>
      <c r="P78" s="382"/>
      <c r="Q78" s="382"/>
      <c r="R78" s="382"/>
      <c r="S78" s="382"/>
      <c r="Z78" s="351">
        <v>32</v>
      </c>
      <c r="AA78" s="383" t="str">
        <f t="array" ref="AA78">IF($AB$2="non",IF(ROWS($2:33)&lt;=COUNTIF($AB$4:$AB$40,0),
INDEX($AA$4:$AA$40,SMALL(IF($AB$4:$AB$40=0,MATCH($AA$4:$AA$40,$AA$4:$AA$40,0)),ROWS($2:33))),""),AA35)</f>
        <v/>
      </c>
    </row>
    <row r="79" spans="1:27" hidden="1">
      <c r="A79" s="321"/>
      <c r="O79" s="382"/>
      <c r="P79" s="382"/>
      <c r="Q79" s="382"/>
      <c r="R79" s="382"/>
      <c r="S79" s="382"/>
      <c r="Z79" s="351">
        <v>33</v>
      </c>
      <c r="AA79" s="383" t="str">
        <f t="array" ref="AA79">IF($AB$2="non",IF(ROWS($2:34)&lt;=COUNTIF($AB$4:$AB$40,0),
INDEX($AA$4:$AA$40,SMALL(IF($AB$4:$AB$40=0,MATCH($AA$4:$AA$40,$AA$4:$AA$40,0)),ROWS($2:34))),""),AA36)</f>
        <v/>
      </c>
    </row>
    <row r="80" spans="1:27" hidden="1">
      <c r="A80" s="321"/>
      <c r="O80" s="382"/>
      <c r="P80" s="382"/>
      <c r="Q80" s="382"/>
      <c r="R80" s="382"/>
      <c r="S80" s="382"/>
      <c r="Z80" s="351">
        <v>34</v>
      </c>
      <c r="AA80" s="383" t="str">
        <f t="array" ref="AA80">IF($AB$2="non",IF(ROWS($2:35)&lt;=COUNTIF($AB$4:$AB$40,0),
INDEX($AA$4:$AA$40,SMALL(IF($AB$4:$AB$40=0,MATCH($AA$4:$AA$40,$AA$4:$AA$40,0)),ROWS($2:35))),""),AA37)</f>
        <v/>
      </c>
    </row>
    <row r="81" spans="1:27" hidden="1">
      <c r="A81" s="321"/>
      <c r="O81" s="382"/>
      <c r="P81" s="382"/>
      <c r="Q81" s="382"/>
      <c r="R81" s="382"/>
      <c r="S81" s="382"/>
      <c r="Z81" s="351">
        <v>35</v>
      </c>
      <c r="AA81" s="383" t="str">
        <f t="array" ref="AA81">IF($AB$2="non",IF(ROWS($2:36)&lt;=COUNTIF($AB$4:$AB$40,0),
INDEX($AA$4:$AA$40,SMALL(IF($AB$4:$AB$40=0,MATCH($AA$4:$AA$40,$AA$4:$AA$40,0)),ROWS($2:36))),""),AA38)</f>
        <v/>
      </c>
    </row>
    <row r="82" spans="1:27" hidden="1">
      <c r="A82" s="321"/>
      <c r="O82" s="382"/>
      <c r="P82" s="382"/>
      <c r="Q82" s="382"/>
      <c r="R82" s="382"/>
      <c r="S82" s="382"/>
      <c r="Z82" s="351">
        <v>36</v>
      </c>
      <c r="AA82" s="383" t="str">
        <f t="array" ref="AA82">IF($AB$2="non",IF(ROWS($2:37)&lt;=COUNTIF($AB$4:$AB$40,0),
INDEX($AA$4:$AA$40,SMALL(IF($AB$4:$AB$40=0,MATCH($AA$4:$AA$40,$AA$4:$AA$40,0)),ROWS($2:37))),""),AA39)</f>
        <v/>
      </c>
    </row>
    <row r="83" spans="1:27" hidden="1">
      <c r="A83" s="321"/>
      <c r="O83" s="382"/>
      <c r="P83" s="382"/>
      <c r="Q83" s="382"/>
      <c r="R83" s="382"/>
      <c r="S83" s="382"/>
      <c r="Z83" s="351">
        <v>37</v>
      </c>
      <c r="AA83" s="383" t="str">
        <f t="array" ref="AA83">IF($AB$2="non",IF(ROWS($2:38)&lt;=COUNTIF($AB$4:$AB$40,0),
INDEX($AA$4:$AA$40,SMALL(IF($AB$4:$AB$40=0,MATCH($AA$4:$AA$40,$AA$4:$AA$40,0)),ROWS($2:38))),""),AA40)</f>
        <v/>
      </c>
    </row>
  </sheetData>
  <sheetProtection sheet="1" objects="1" scenarios="1" selectLockedCells="1"/>
  <mergeCells count="5">
    <mergeCell ref="I2:J2"/>
    <mergeCell ref="K2:M2"/>
    <mergeCell ref="N2:O2"/>
    <mergeCell ref="P2:R2"/>
    <mergeCell ref="AF2:AK2"/>
  </mergeCells>
  <dataValidations count="2">
    <dataValidation type="list" allowBlank="1" showInputMessage="1" showErrorMessage="1" sqref="AB2" xr:uid="{0C3EACBF-FA2F-4E76-9270-EC61BA373398}">
      <formula1>"oui,non"</formula1>
    </dataValidation>
    <dataValidation type="list" allowBlank="1" showInputMessage="1" showErrorMessage="1" sqref="B4:B29 F4:F29" xr:uid="{BA30C31D-44DE-4466-93DA-3C399ADE1AEF}">
      <formula1>OFFSET($AA$47,,,COUNTIF($AB$4:$AB$40,0))</formula1>
    </dataValidation>
  </dataValidations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B66334C-DB0F-41D8-BBFA-0E8A6CEA06C0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2" iconId="0"/>
              <x14:cfIcon iconSet="3Symbols2" iconId="2"/>
              <x14:cfIcon iconSet="3Symbols2" iconId="1"/>
            </x14:iconSet>
          </x14:cfRule>
          <xm:sqref>AB4:AB40</xm:sqref>
        </x14:conditionalFormatting>
        <x14:conditionalFormatting xmlns:xm="http://schemas.microsoft.com/office/excel/2006/main">
          <x14:cfRule type="iconSet" priority="2" id="{6722CD53-8E1C-468B-8295-A5006AAB8F26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2" iconId="0"/>
              <x14:cfIcon iconSet="3Symbols2" iconId="2"/>
              <x14:cfIcon iconSet="3Symbols2" iconId="1"/>
            </x14:iconSet>
          </x14:cfRule>
          <xm:sqref>AB41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7DC9F-3AED-45EB-AD36-94D57137D7CE}">
  <dimension ref="A1:AL1048576"/>
  <sheetViews>
    <sheetView showGridLines="0" workbookViewId="0">
      <selection activeCell="H4" sqref="H4"/>
    </sheetView>
  </sheetViews>
  <sheetFormatPr baseColWidth="10" defaultColWidth="0" defaultRowHeight="15" zeroHeight="1"/>
  <cols>
    <col min="1" max="1" width="5.5703125" customWidth="1"/>
    <col min="2" max="2" width="30.42578125" customWidth="1"/>
    <col min="3" max="3" width="4.140625" bestFit="1" customWidth="1"/>
    <col min="4" max="4" width="3" bestFit="1" customWidth="1"/>
    <col min="5" max="5" width="25.42578125" customWidth="1"/>
    <col min="6" max="6" width="6.140625" bestFit="1" customWidth="1"/>
    <col min="7" max="7" width="11.42578125" hidden="1" customWidth="1"/>
    <col min="8" max="8" width="11.42578125" customWidth="1"/>
    <col min="9" max="10" width="11.42578125" hidden="1" customWidth="1"/>
    <col min="11" max="11" width="8.140625" bestFit="1" customWidth="1"/>
    <col min="12" max="12" width="4.5703125" hidden="1" customWidth="1"/>
    <col min="13" max="13" width="5.5703125" bestFit="1" customWidth="1"/>
    <col min="14" max="14" width="6.5703125" bestFit="1" customWidth="1"/>
    <col min="15" max="15" width="4.5703125" hidden="1" customWidth="1"/>
    <col min="16" max="16" width="5.5703125" bestFit="1" customWidth="1"/>
    <col min="17" max="17" width="10" bestFit="1" customWidth="1"/>
    <col min="18" max="21" width="8" customWidth="1"/>
    <col min="22" max="22" width="6.7109375" customWidth="1"/>
    <col min="23" max="26" width="11.42578125" hidden="1" customWidth="1"/>
    <col min="27" max="27" width="9.140625" bestFit="1" customWidth="1"/>
    <col min="28" max="28" width="6.140625" bestFit="1" customWidth="1"/>
    <col min="29" max="29" width="11.42578125" hidden="1" customWidth="1"/>
    <col min="30" max="30" width="7.5703125" bestFit="1" customWidth="1"/>
    <col min="31" max="31" width="9.28515625" customWidth="1"/>
    <col min="32" max="32" width="7" customWidth="1"/>
    <col min="33" max="35" width="4.5703125" hidden="1" customWidth="1"/>
    <col min="36" max="36" width="7.140625" customWidth="1"/>
    <col min="37" max="37" width="8.28515625" bestFit="1" customWidth="1"/>
    <col min="38" max="38" width="11.42578125" customWidth="1"/>
    <col min="39" max="16384" width="11.42578125" hidden="1"/>
  </cols>
  <sheetData>
    <row r="1" spans="1:37" ht="15.75" thickBot="1">
      <c r="AE1" s="384"/>
      <c r="AF1" s="701" t="s">
        <v>236</v>
      </c>
      <c r="AG1" s="701"/>
      <c r="AH1" s="701"/>
      <c r="AI1" s="701"/>
      <c r="AJ1" s="701"/>
    </row>
    <row r="2" spans="1:37" ht="15.75" customHeight="1" thickBot="1">
      <c r="A2" s="330" t="s">
        <v>166</v>
      </c>
      <c r="B2" s="702"/>
      <c r="C2" s="703"/>
      <c r="D2" s="703"/>
      <c r="E2" s="703"/>
      <c r="F2" s="386"/>
      <c r="G2" s="385"/>
      <c r="H2" s="387" t="s">
        <v>167</v>
      </c>
      <c r="I2" s="388"/>
      <c r="J2" s="321">
        <v>60</v>
      </c>
      <c r="K2" s="704" t="s">
        <v>168</v>
      </c>
      <c r="L2" s="705"/>
      <c r="M2" s="706"/>
      <c r="N2" s="707" t="s">
        <v>169</v>
      </c>
      <c r="O2" s="708"/>
      <c r="P2" s="708"/>
      <c r="Q2" s="390" t="s">
        <v>170</v>
      </c>
      <c r="R2" s="707" t="s">
        <v>171</v>
      </c>
      <c r="S2" s="708"/>
      <c r="T2" s="708"/>
      <c r="U2" s="709"/>
      <c r="V2" s="391">
        <v>20</v>
      </c>
      <c r="W2" s="389"/>
      <c r="X2" s="389"/>
      <c r="Y2" s="389"/>
      <c r="Z2" s="392"/>
      <c r="AA2" s="699" t="s">
        <v>172</v>
      </c>
      <c r="AB2" s="699" t="s">
        <v>173</v>
      </c>
      <c r="AC2" s="393"/>
      <c r="AD2" s="697" t="s">
        <v>174</v>
      </c>
      <c r="AE2" s="699" t="s">
        <v>208</v>
      </c>
      <c r="AF2" s="699" t="s">
        <v>225</v>
      </c>
      <c r="AG2" s="699"/>
      <c r="AH2" s="699"/>
      <c r="AI2" s="699"/>
      <c r="AJ2" s="699" t="s">
        <v>235</v>
      </c>
      <c r="AK2" s="697" t="s">
        <v>175</v>
      </c>
    </row>
    <row r="3" spans="1:37" ht="15.75" thickBot="1">
      <c r="A3" s="330">
        <v>1</v>
      </c>
      <c r="B3" s="394" t="s">
        <v>176</v>
      </c>
      <c r="C3" s="395" t="s">
        <v>134</v>
      </c>
      <c r="D3" s="396"/>
      <c r="E3" s="396" t="s">
        <v>177</v>
      </c>
      <c r="F3" s="396" t="s">
        <v>134</v>
      </c>
      <c r="G3" s="396"/>
      <c r="H3" s="397" t="s">
        <v>187</v>
      </c>
      <c r="I3" s="398">
        <v>35</v>
      </c>
      <c r="J3" s="398">
        <v>25</v>
      </c>
      <c r="K3" s="399" t="s">
        <v>178</v>
      </c>
      <c r="L3" s="400" t="s">
        <v>139</v>
      </c>
      <c r="M3" s="397" t="s">
        <v>140</v>
      </c>
      <c r="N3" s="401" t="s">
        <v>126</v>
      </c>
      <c r="O3" s="400" t="s">
        <v>139</v>
      </c>
      <c r="P3" s="402" t="s">
        <v>140</v>
      </c>
      <c r="Q3" s="403" t="s">
        <v>179</v>
      </c>
      <c r="R3" s="404" t="s">
        <v>180</v>
      </c>
      <c r="S3" s="405" t="s">
        <v>181</v>
      </c>
      <c r="T3" s="405" t="s">
        <v>182</v>
      </c>
      <c r="U3" s="406" t="s">
        <v>183</v>
      </c>
      <c r="V3" s="407" t="s">
        <v>184</v>
      </c>
      <c r="W3" s="408" t="s">
        <v>100</v>
      </c>
      <c r="X3" s="409" t="s">
        <v>185</v>
      </c>
      <c r="Y3" s="409" t="s">
        <v>98</v>
      </c>
      <c r="Z3" s="410" t="s">
        <v>186</v>
      </c>
      <c r="AA3" s="700"/>
      <c r="AB3" s="700"/>
      <c r="AC3" s="411"/>
      <c r="AD3" s="698"/>
      <c r="AE3" s="700"/>
      <c r="AF3" s="700"/>
      <c r="AG3" s="700"/>
      <c r="AH3" s="700"/>
      <c r="AI3" s="700"/>
      <c r="AJ3" s="700"/>
      <c r="AK3" s="698"/>
    </row>
    <row r="4" spans="1:37" ht="24" customHeight="1">
      <c r="A4" s="321" t="s">
        <v>127</v>
      </c>
      <c r="B4" s="412" t="str">
        <f ca="1">IFERROR('Compo.Relais(2)'!$AF4,"")</f>
        <v/>
      </c>
      <c r="C4" s="413" t="str">
        <f ca="1">IF(B4&lt;&gt;"",INDEX(Perf.Sprint!$C$4:$C$41,MATCH(B4,Perf.Sprint!$B$4:$B$41,0)),"")</f>
        <v/>
      </c>
      <c r="D4" s="413" t="s">
        <v>149</v>
      </c>
      <c r="E4" s="413" t="str">
        <f ca="1">IFERROR('Compo.Relais(2)'!$AH4,"")</f>
        <v/>
      </c>
      <c r="F4" s="413" t="str">
        <f ca="1">IF(E4&lt;&gt;"",INDEX(Perf.Sprint!$C$4:$C$41,MATCH(E4,Perf.Sprint!$B$4:$B$41,0)),"")</f>
        <v/>
      </c>
      <c r="G4" s="413" t="str">
        <f ca="1">CONCATENATE(C4,F4)</f>
        <v/>
      </c>
      <c r="H4" s="414"/>
      <c r="I4" s="415" t="str">
        <f ca="1">IF(B4&lt;&gt;0,INDEX(Perf.Sprint!$BJ$4:$BJ$40,MATCH(B4,Perf.Sprint!$B$4:$B$40,0)),"")</f>
        <v/>
      </c>
      <c r="J4" s="415" t="str">
        <f ca="1">IF(E4&lt;&gt;0,INDEX(Perf.Sprint!$BG$4:$BG$40,MATCH(E4,Perf.Sprint!$B$4:$B$40,0)),"")</f>
        <v/>
      </c>
      <c r="K4" s="416" t="str">
        <f ca="1">IFERROR(SUM(I4+J4),"")</f>
        <v/>
      </c>
      <c r="L4" s="413" t="str">
        <f ca="1">IF(K4="","",ROUND($J$2/K4,1))</f>
        <v/>
      </c>
      <c r="M4" s="417" t="str">
        <f ca="1">IF(K4="","",(L4*3600)/1000)</f>
        <v/>
      </c>
      <c r="N4" s="418"/>
      <c r="O4" s="419" t="str">
        <f>IFERROR(IF(N4="","",ROUND($J$2/N4,1)),"")</f>
        <v/>
      </c>
      <c r="P4" s="420" t="str">
        <f>IF(O4&lt;&gt;"",(O4*3600)/1000,"")</f>
        <v/>
      </c>
      <c r="Q4" s="421"/>
      <c r="R4" s="422"/>
      <c r="S4" s="423"/>
      <c r="T4" s="423"/>
      <c r="U4" s="424"/>
      <c r="V4" s="425" t="str">
        <f>IF(COUNT(N4:N5)=2,SUM(N4:N5),"")</f>
        <v/>
      </c>
      <c r="W4" s="426" t="str">
        <f ca="1">IF($V4="","",IF(OR(AND(C4="M",F4="F"),AND(C4="F",F4="M")),VLOOKUP($V4,INDIRECT("rel"),1),VLOOKUP($V4,INDIRECT(C4&amp;"rel"),1)))</f>
        <v/>
      </c>
      <c r="X4" s="426" t="str">
        <f ca="1">IFERROR(IF(OR(AND(C4="M",F4="F"),AND(C4="F",F4="M")),INDEX(INDIRECT("rel"),MATCH($V4,INDIRECT("rel"))+1),INDEX(INDIRECT(C4&amp;"rel"),MATCH($V4,INDIRECT(C4&amp;"rel"))+1)),"")</f>
        <v/>
      </c>
      <c r="Y4" s="426" t="str">
        <f ca="1">IF(X4="",W4,IF(V4=W4,W4,X4))</f>
        <v/>
      </c>
      <c r="Z4" s="427" t="str">
        <f ca="1">IF(Y4="","",IF(OR(AND(C4="M",F4="F"),AND(C4="F",F4="M")),VLOOKUP(Y4,relais,3),IF(C4="F",VLOOKUP(Y4,relaisf,7),VLOOKUP(Y4,relaisg,5))))</f>
        <v/>
      </c>
      <c r="AA4" s="428" t="str">
        <f ca="1">IFERROR(AVERAGE(Z4,Z5),"")</f>
        <v/>
      </c>
      <c r="AB4" s="429" t="str">
        <f>IFERROR(IF(COUNT($N4)=1,ABS(($N4/K4)-1),""),"")</f>
        <v/>
      </c>
      <c r="AC4" s="430" t="str">
        <f>IF($AB4&lt;&gt;"",INDEX(Barème!$AI$3:$AI$28,MATCH($AB4,Barème!$AH$3:$AH$28,-1)),"")</f>
        <v/>
      </c>
      <c r="AD4" s="428" t="str">
        <f>IF(COUNT(AC4:AC5)&gt;1,AVERAGE(AC4,AC5),"")</f>
        <v/>
      </c>
      <c r="AE4" s="431" t="str">
        <f>IFERROR(INDEX(Pts_Zone,MATCH(Q4,Zone,0)),"")</f>
        <v/>
      </c>
      <c r="AF4" s="428" t="str">
        <f>IFERROR(AVERAGE(AE4:AE5),"")</f>
        <v/>
      </c>
      <c r="AG4" s="432" t="str">
        <f>IF(COUNTA(R4)=1,COUNTIF(R4,"OUI"),"")</f>
        <v/>
      </c>
      <c r="AH4" s="433" t="str">
        <f>IF(COUNTA(U4)=1,COUNTIF(U4,"OUI"),"")</f>
        <v/>
      </c>
      <c r="AI4" s="434" t="str">
        <f>IF(COUNTA(S4:T4)=2,COUNTIF(S4:T4,"OUI"),"")</f>
        <v/>
      </c>
      <c r="AJ4" s="428" t="str">
        <f>IF(COUNT(AG4:AH4,AI5)=3,MROUND(SUM(AG4,AH4,AI5),0.25),"")</f>
        <v/>
      </c>
      <c r="AK4" s="428" t="str">
        <f>IFERROR((AF4/4)*3+(AJ4/5)*3,"")</f>
        <v/>
      </c>
    </row>
    <row r="5" spans="1:37" ht="24" customHeight="1" thickBot="1">
      <c r="A5" s="321" t="s">
        <v>128</v>
      </c>
      <c r="B5" s="435" t="str">
        <f ca="1">E4</f>
        <v/>
      </c>
      <c r="C5" s="436" t="str">
        <f ca="1">IF(B5&lt;&gt;"",INDEX(Perf.Sprint!$C$4:$C$41,MATCH(B5,Perf.Sprint!$B$4:$B$41,0)),"")</f>
        <v/>
      </c>
      <c r="D5" s="436" t="s">
        <v>149</v>
      </c>
      <c r="E5" s="436" t="str">
        <f ca="1">B4</f>
        <v/>
      </c>
      <c r="F5" s="436" t="str">
        <f ca="1">IF(E5&lt;&gt;"",INDEX(Perf.Sprint!$C$4:$C$41,MATCH(E5,Perf.Sprint!$B$4:$B$41,0)),"")</f>
        <v/>
      </c>
      <c r="G5" s="436" t="str">
        <f ca="1">CONCATENATE(F5,C5)</f>
        <v/>
      </c>
      <c r="H5" s="437"/>
      <c r="I5" s="438" t="str">
        <f ca="1">IF(B5&lt;&gt;0,INDEX(Perf.Sprint!$BJ$4:$BJ$40,MATCH(B5,Perf.Sprint!$B$4:$B$40,0)),"")</f>
        <v/>
      </c>
      <c r="J5" s="438" t="str">
        <f ca="1">IF(E5&lt;&gt;0,INDEX(Perf.Sprint!$BG$4:$BG$40,MATCH(E5,Perf.Sprint!$B$4:$B$40,0)),"")</f>
        <v/>
      </c>
      <c r="K5" s="438" t="str">
        <f ca="1">IFERROR(SUM(I5+J5),"")</f>
        <v/>
      </c>
      <c r="L5" s="436" t="str">
        <f ca="1">IF(K5="","",ROUND($J$2/K5,1))</f>
        <v/>
      </c>
      <c r="M5" s="439" t="str">
        <f ca="1">IF(K5="","",(L5*3600)/1000)</f>
        <v/>
      </c>
      <c r="N5" s="440"/>
      <c r="O5" s="441" t="str">
        <f>IFERROR(IF(N5="","",ROUND($J$2/N5,1)),"")</f>
        <v/>
      </c>
      <c r="P5" s="442" t="str">
        <f>IF(O5&lt;&gt;"",(O5*3600)/1000,"")</f>
        <v/>
      </c>
      <c r="Q5" s="443"/>
      <c r="R5" s="444"/>
      <c r="S5" s="445"/>
      <c r="T5" s="445"/>
      <c r="U5" s="446"/>
      <c r="V5" s="447" t="str">
        <f>IF(COUNT(N4:N5)=2,SUM(N4:N5),"")</f>
        <v/>
      </c>
      <c r="W5" s="448" t="str">
        <f ca="1">IF($V5="","",IF(OR(AND(C5="M",F5="F"),AND(C5="F",F5="M")),VLOOKUP($V5,INDIRECT("rel"),1),VLOOKUP($V5,INDIRECT(C5&amp;"rel"),1)))</f>
        <v/>
      </c>
      <c r="X5" s="448" t="str">
        <f ca="1">IFERROR(IF(OR(AND(C5="M",F5="F"),AND(C5="F",F5="M")),INDEX(INDIRECT("rel"),MATCH($V5,INDIRECT("rel"))+1),INDEX(INDIRECT(C5&amp;"rel"),MATCH($V5,INDIRECT(C5&amp;"rel"))+1)),"")</f>
        <v/>
      </c>
      <c r="Y5" s="448" t="str">
        <f ca="1">IF(X5="",W5,IF(V5=W5,W5,X5))</f>
        <v/>
      </c>
      <c r="Z5" s="449" t="str">
        <f ca="1">IF(Y5="","",IF(OR(AND(C5="M",F5="F"),AND(C5="F",F5="M")),VLOOKUP(Y5,relais,3),IF(C5="F",VLOOKUP(Y5,relaisf,7),VLOOKUP(Y5,relaisg,5))))</f>
        <v/>
      </c>
      <c r="AA5" s="450" t="str">
        <f ca="1">IFERROR(AVERAGE(Z4,Z5),"")</f>
        <v/>
      </c>
      <c r="AB5" s="451" t="str">
        <f>IFERROR(IF(COUNT($N5)=1,ABS(($N5/K5)-1),""),"")</f>
        <v/>
      </c>
      <c r="AC5" s="452" t="str">
        <f>IF($AB5&lt;&gt;"",INDEX(Barème!$AI$3:$AI$28,MATCH($AB5,Barème!$AH$3:$AH$28,-1)),"")</f>
        <v/>
      </c>
      <c r="AD5" s="450" t="str">
        <f>IF(COUNT(AC4:AC5)&gt;1,AVERAGE(AC4,AC5),"")</f>
        <v/>
      </c>
      <c r="AE5" s="453" t="str">
        <f>IFERROR(INDEX(Pts_Zone,MATCH(Q5,Zone,0)),"")</f>
        <v/>
      </c>
      <c r="AF5" s="450" t="str">
        <f>IFERROR(AVERAGE(AE5,AE4),"")</f>
        <v/>
      </c>
      <c r="AG5" s="432" t="str">
        <f>IF(COUNTA(R5)=1,COUNTIF(R5,"OUI"),"")</f>
        <v/>
      </c>
      <c r="AH5" s="433" t="str">
        <f>IF(COUNTA(U5)=1,COUNTIF(U5,"OUI"),"")</f>
        <v/>
      </c>
      <c r="AI5" s="434" t="str">
        <f>IF(COUNTA(S5:T5)=2,COUNTIF(S5:T5,"OUI"),"")</f>
        <v/>
      </c>
      <c r="AJ5" s="450" t="str">
        <f>IF(COUNT(AG5:AH5,AI4)=3,MROUND(SUM(AG5,AH5,AI4),0.25),"")</f>
        <v/>
      </c>
      <c r="AK5" s="450" t="str">
        <f>IFERROR((AF5/4)*3+(AJ5/5)*3,"")</f>
        <v/>
      </c>
    </row>
    <row r="6" spans="1:37" ht="15.75" thickBot="1">
      <c r="A6" s="330">
        <v>2</v>
      </c>
      <c r="B6" s="394" t="s">
        <v>176</v>
      </c>
      <c r="C6" s="395" t="s">
        <v>134</v>
      </c>
      <c r="D6" s="396"/>
      <c r="E6" s="396" t="s">
        <v>177</v>
      </c>
      <c r="F6" s="396" t="s">
        <v>134</v>
      </c>
      <c r="G6" s="396"/>
      <c r="H6" s="399" t="s">
        <v>187</v>
      </c>
      <c r="I6" s="398">
        <v>36</v>
      </c>
      <c r="J6" s="398">
        <v>25</v>
      </c>
      <c r="K6" s="399" t="s">
        <v>178</v>
      </c>
      <c r="L6" s="400" t="s">
        <v>139</v>
      </c>
      <c r="M6" s="397" t="s">
        <v>140</v>
      </c>
      <c r="N6" s="401" t="s">
        <v>126</v>
      </c>
      <c r="O6" s="400" t="s">
        <v>139</v>
      </c>
      <c r="P6" s="402" t="s">
        <v>140</v>
      </c>
      <c r="Q6" s="403" t="s">
        <v>170</v>
      </c>
      <c r="R6" s="454" t="s">
        <v>180</v>
      </c>
      <c r="S6" s="455" t="s">
        <v>181</v>
      </c>
      <c r="T6" s="455" t="s">
        <v>182</v>
      </c>
      <c r="U6" s="456" t="s">
        <v>183</v>
      </c>
      <c r="V6" s="457"/>
      <c r="W6" s="458"/>
      <c r="X6" s="458"/>
      <c r="Y6" s="458"/>
      <c r="Z6" s="459"/>
      <c r="AA6" s="460"/>
      <c r="AB6" s="461" t="s">
        <v>188</v>
      </c>
      <c r="AC6" s="411"/>
      <c r="AD6" s="462"/>
      <c r="AE6" s="463"/>
      <c r="AF6" s="460"/>
      <c r="AG6" s="432"/>
      <c r="AH6" s="464" t="s">
        <v>152</v>
      </c>
      <c r="AI6" s="465" t="s">
        <v>163</v>
      </c>
      <c r="AJ6" s="457"/>
      <c r="AK6" s="462"/>
    </row>
    <row r="7" spans="1:37" ht="24" customHeight="1">
      <c r="A7" s="321" t="s">
        <v>127</v>
      </c>
      <c r="B7" s="466" t="str">
        <f ca="1">IFERROR('Compo.Relais(2)'!$AF5,"")</f>
        <v/>
      </c>
      <c r="C7" s="413" t="str">
        <f ca="1">IF(B7&lt;&gt;"",INDEX(Perf.Sprint!$C$4:$C$41,MATCH(B7,Perf.Sprint!$B$4:$B$41,0)),"")</f>
        <v/>
      </c>
      <c r="D7" s="413" t="s">
        <v>149</v>
      </c>
      <c r="E7" s="413" t="str">
        <f ca="1">IFERROR('Compo.Relais(2)'!$AH5,"")</f>
        <v/>
      </c>
      <c r="F7" s="413" t="str">
        <f ca="1">IF(E7&lt;&gt;"",INDEX(Perf.Sprint!$C$4:$C$41,MATCH(E7,Perf.Sprint!$B$4:$B$41,0)),"")</f>
        <v/>
      </c>
      <c r="G7" s="413" t="str">
        <f ca="1">CONCATENATE(C7,F7)</f>
        <v/>
      </c>
      <c r="H7" s="414"/>
      <c r="I7" s="415" t="str">
        <f ca="1">IF(B7&lt;&gt;0,INDEX(Perf.Sprint!$BJ$4:$BJ$40,MATCH(B7,Perf.Sprint!$B$4:$B$40,0)),"")</f>
        <v/>
      </c>
      <c r="J7" s="415" t="str">
        <f ca="1">IF(E7&lt;&gt;0,INDEX(Perf.Sprint!$BG$4:$BG$40,MATCH(E7,Perf.Sprint!$B$4:$B$40,0)),"")</f>
        <v/>
      </c>
      <c r="K7" s="416" t="str">
        <f ca="1">IFERROR(SUM(I7+J7),"")</f>
        <v/>
      </c>
      <c r="L7" s="413" t="str">
        <f ca="1">IF(K7="","",ROUND($J$2/K7,1))</f>
        <v/>
      </c>
      <c r="M7" s="417" t="str">
        <f ca="1">IF(K7="","",(L7*3600)/1000)</f>
        <v/>
      </c>
      <c r="N7" s="418"/>
      <c r="O7" s="419" t="str">
        <f>IFERROR(IF(N7="","",ROUND($J$2/N7,1)),"")</f>
        <v/>
      </c>
      <c r="P7" s="420" t="str">
        <f>IF(O7&lt;&gt;"",(O7*3600)/1000,"")</f>
        <v/>
      </c>
      <c r="Q7" s="467"/>
      <c r="R7" s="422"/>
      <c r="S7" s="423"/>
      <c r="T7" s="423"/>
      <c r="U7" s="424"/>
      <c r="V7" s="425" t="str">
        <f>IF(COUNT(N7:N8)=2,SUM(N7:N8),"")</f>
        <v/>
      </c>
      <c r="W7" s="426" t="str">
        <f ca="1">IF($V7="","",IF(OR(AND(C7="M",F7="F"),AND(C7="F",F7="M")),VLOOKUP($V7,INDIRECT("rel"),1),VLOOKUP($V7,INDIRECT(C7&amp;"rel"),1)))</f>
        <v/>
      </c>
      <c r="X7" s="426" t="str">
        <f ca="1">IFERROR(IF(OR(AND(C7="M",F7="F"),AND(C7="F",F7="M")),INDEX(INDIRECT("rel"),MATCH($V7,INDIRECT("rel"))+1),INDEX(INDIRECT(C7&amp;"rel"),MATCH($V7,INDIRECT(C7&amp;"rel"))+1)),"")</f>
        <v/>
      </c>
      <c r="Y7" s="426" t="str">
        <f ca="1">IF(X7="",W7,IF(V7=W7,W7,X7))</f>
        <v/>
      </c>
      <c r="Z7" s="427" t="str">
        <f ca="1">IF(Y7="","",IF(OR(AND(C7="M",F7="F"),AND(C7="F",F7="M")),VLOOKUP(Y7,relais,3),IF(C7="F",VLOOKUP(Y7,relaisf,7),VLOOKUP(Y7,relaisg,5))))</f>
        <v/>
      </c>
      <c r="AA7" s="428" t="str">
        <f ca="1">IFERROR(AVERAGE(Z7,Z8),"")</f>
        <v/>
      </c>
      <c r="AB7" s="429" t="str">
        <f>IFERROR(IF(COUNT($N7)=1,ABS(($N7/K7)-1),""),"")</f>
        <v/>
      </c>
      <c r="AC7" s="430" t="str">
        <f>IF($AB7&lt;&gt;"",INDEX(Barème!$AI$3:$AI$28,MATCH($AB7,Barème!$AH$3:$AH$28,-1)),"")</f>
        <v/>
      </c>
      <c r="AD7" s="428" t="str">
        <f>IF(COUNT(AC7:AC8)&gt;1,AVERAGE(AC7,AC8),"")</f>
        <v/>
      </c>
      <c r="AE7" s="431" t="str">
        <f t="shared" ref="AE7:AE70" si="0">IFERROR(INDEX(Pts_Zone,MATCH(Q7,Zone,0)),"")</f>
        <v/>
      </c>
      <c r="AF7" s="428" t="str">
        <f>IFERROR(AVERAGE(AE7:AE8),"")</f>
        <v/>
      </c>
      <c r="AG7" s="432" t="str">
        <f>IF(COUNTA(R7)=1,COUNTIF(R7,"OUI"),"")</f>
        <v/>
      </c>
      <c r="AH7" s="433" t="str">
        <f>IF(COUNTA(U7)=1,COUNTIF(U7,"OUI"),"")</f>
        <v/>
      </c>
      <c r="AI7" s="434" t="str">
        <f>IF(COUNTA(S7:T7)=2,COUNTIF(S7:T7,"OUI"),"")</f>
        <v/>
      </c>
      <c r="AJ7" s="428" t="str">
        <f>IF(COUNT(AG7:AH7,AI8)=3,MROUND(SUM(AG7,AH7,AI8),0.25),"")</f>
        <v/>
      </c>
      <c r="AK7" s="428" t="str">
        <f t="shared" ref="AK7:AK8" si="1">IFERROR((AF7/4)*3+(AJ7/5)*3,"")</f>
        <v/>
      </c>
    </row>
    <row r="8" spans="1:37" ht="24" customHeight="1" thickBot="1">
      <c r="A8" s="321" t="s">
        <v>128</v>
      </c>
      <c r="B8" s="468" t="str">
        <f ca="1">E7</f>
        <v/>
      </c>
      <c r="C8" s="436" t="str">
        <f ca="1">IF(B8&lt;&gt;"",INDEX(Perf.Sprint!$C$4:$C$41,MATCH(B8,Perf.Sprint!$B$4:$B$41,0)),"")</f>
        <v/>
      </c>
      <c r="D8" s="436" t="s">
        <v>149</v>
      </c>
      <c r="E8" s="436" t="str">
        <f ca="1">B7</f>
        <v/>
      </c>
      <c r="F8" s="436" t="str">
        <f ca="1">IF(E8&lt;&gt;"",INDEX(Perf.Sprint!$C$4:$C$41,MATCH(E8,Perf.Sprint!$B$4:$B$41,0)),"")</f>
        <v/>
      </c>
      <c r="G8" s="436" t="str">
        <f ca="1">CONCATENATE(F8,C8)</f>
        <v/>
      </c>
      <c r="H8" s="437"/>
      <c r="I8" s="438" t="str">
        <f ca="1">IF(B8&lt;&gt;0,INDEX(Perf.Sprint!$BJ$4:$BJ$40,MATCH(B8,Perf.Sprint!$B$4:$B$40,0)),"")</f>
        <v/>
      </c>
      <c r="J8" s="438" t="str">
        <f ca="1">IF(E8&lt;&gt;0,INDEX(Perf.Sprint!$BG$4:$BG$40,MATCH(E8,Perf.Sprint!$B$4:$B$40,0)),"")</f>
        <v/>
      </c>
      <c r="K8" s="438" t="str">
        <f ca="1">IFERROR(SUM(I8+J8),"")</f>
        <v/>
      </c>
      <c r="L8" s="436" t="str">
        <f ca="1">IF(K8="","",ROUND($J$2/K8,1))</f>
        <v/>
      </c>
      <c r="M8" s="439" t="str">
        <f ca="1">IF(K8="","",(L8*3600)/1000)</f>
        <v/>
      </c>
      <c r="N8" s="440"/>
      <c r="O8" s="441" t="str">
        <f>IFERROR(IF(N8="","",ROUND($J$2/N8,1)),"")</f>
        <v/>
      </c>
      <c r="P8" s="442" t="str">
        <f>IF(O8&lt;&gt;"",(O8*3600)/1000,"")</f>
        <v/>
      </c>
      <c r="Q8" s="469"/>
      <c r="R8" s="444"/>
      <c r="S8" s="445"/>
      <c r="T8" s="445"/>
      <c r="U8" s="446"/>
      <c r="V8" s="447" t="str">
        <f>IF(COUNT(N7:N8)=2,SUM(N7:N8),"")</f>
        <v/>
      </c>
      <c r="W8" s="448" t="str">
        <f ca="1">IF($V8="","",IF(OR(AND(C8="M",F8="F"),AND(C8="F",F8="M")),VLOOKUP($V8,INDIRECT("rel"),1),VLOOKUP($V8,INDIRECT(C8&amp;"rel"),1)))</f>
        <v/>
      </c>
      <c r="X8" s="448" t="str">
        <f ca="1">IFERROR(IF(OR(AND(C8="M",F8="F"),AND(C8="F",F8="M")),INDEX(INDIRECT("rel"),MATCH($V8,INDIRECT("rel"))+1),INDEX(INDIRECT(C8&amp;"rel"),MATCH($V8,INDIRECT(C8&amp;"rel"))+1)),"")</f>
        <v/>
      </c>
      <c r="Y8" s="448" t="str">
        <f ca="1">IF(X8="",W8,IF(V8=W8,W8,X8))</f>
        <v/>
      </c>
      <c r="Z8" s="449" t="str">
        <f ca="1">IF(Y8="","",IF(OR(AND(C8="M",F8="F"),AND(C8="F",F8="M")),VLOOKUP(Y8,relais,3),IF(C8="F",VLOOKUP(Y8,relaisf,7),VLOOKUP(Y8,relaisg,5))))</f>
        <v/>
      </c>
      <c r="AA8" s="450" t="str">
        <f ca="1">IFERROR(AVERAGE(Z7,Z8),"")</f>
        <v/>
      </c>
      <c r="AB8" s="451" t="str">
        <f>IFERROR(IF(COUNT($N8)=1,ABS(($N8/K8)-1),""),"")</f>
        <v/>
      </c>
      <c r="AC8" s="452" t="str">
        <f>IF($AB8&lt;&gt;"",INDEX(Barème!$AI$3:$AI$28,MATCH($AB8,Barème!$AH$3:$AH$28,-1)),"")</f>
        <v/>
      </c>
      <c r="AD8" s="450" t="str">
        <f>IF(COUNT(AC7:AC8)&gt;1,AVERAGE(AC7,AC8),"")</f>
        <v/>
      </c>
      <c r="AE8" s="453" t="str">
        <f t="shared" si="0"/>
        <v/>
      </c>
      <c r="AF8" s="450" t="str">
        <f>IFERROR(AVERAGE(AE8,AE7),"")</f>
        <v/>
      </c>
      <c r="AG8" s="432" t="str">
        <f>IF(COUNTA(R8)=1,COUNTIF(R8,"OUI"),"")</f>
        <v/>
      </c>
      <c r="AH8" s="433" t="str">
        <f>IF(COUNTA(U8)=1,COUNTIF(U8,"OUI"),"")</f>
        <v/>
      </c>
      <c r="AI8" s="434" t="str">
        <f>IF(COUNTA(S8:T8)=2,COUNTIF(S8:T8,"OUI"),"")</f>
        <v/>
      </c>
      <c r="AJ8" s="450" t="str">
        <f>IF(COUNT(AG8:AH8,AI7)=3,MROUND(SUM(AG8,AH8,AI7),0.25),"")</f>
        <v/>
      </c>
      <c r="AK8" s="450" t="str">
        <f t="shared" si="1"/>
        <v/>
      </c>
    </row>
    <row r="9" spans="1:37" ht="15.75" thickBot="1">
      <c r="A9" s="330">
        <v>3</v>
      </c>
      <c r="B9" s="394" t="s">
        <v>176</v>
      </c>
      <c r="C9" s="395" t="s">
        <v>134</v>
      </c>
      <c r="D9" s="396"/>
      <c r="E9" s="396" t="s">
        <v>177</v>
      </c>
      <c r="F9" s="396" t="s">
        <v>134</v>
      </c>
      <c r="G9" s="396"/>
      <c r="H9" s="399" t="s">
        <v>187</v>
      </c>
      <c r="I9" s="398">
        <v>37</v>
      </c>
      <c r="J9" s="398">
        <v>25</v>
      </c>
      <c r="K9" s="399" t="s">
        <v>178</v>
      </c>
      <c r="L9" s="400" t="s">
        <v>139</v>
      </c>
      <c r="M9" s="397" t="s">
        <v>140</v>
      </c>
      <c r="N9" s="401" t="s">
        <v>126</v>
      </c>
      <c r="O9" s="400" t="s">
        <v>139</v>
      </c>
      <c r="P9" s="402" t="s">
        <v>140</v>
      </c>
      <c r="Q9" s="403" t="s">
        <v>170</v>
      </c>
      <c r="R9" s="454" t="s">
        <v>180</v>
      </c>
      <c r="S9" s="455" t="s">
        <v>181</v>
      </c>
      <c r="T9" s="455" t="s">
        <v>182</v>
      </c>
      <c r="U9" s="456" t="s">
        <v>183</v>
      </c>
      <c r="V9" s="457"/>
      <c r="W9" s="458"/>
      <c r="X9" s="458"/>
      <c r="Y9" s="458"/>
      <c r="Z9" s="459"/>
      <c r="AA9" s="460"/>
      <c r="AB9" s="470" t="s">
        <v>188</v>
      </c>
      <c r="AC9" s="411"/>
      <c r="AD9" s="462"/>
      <c r="AE9" s="463" t="str">
        <f t="shared" si="0"/>
        <v/>
      </c>
      <c r="AF9" s="460"/>
      <c r="AG9" s="432">
        <f>IF(COUNTA(R9)=1,COUNTIF(R9,"OUI"),"")</f>
        <v>0</v>
      </c>
      <c r="AH9" s="464" t="s">
        <v>152</v>
      </c>
      <c r="AI9" s="465" t="s">
        <v>163</v>
      </c>
      <c r="AJ9" s="457"/>
      <c r="AK9" s="462"/>
    </row>
    <row r="10" spans="1:37" ht="24" customHeight="1">
      <c r="A10" s="321" t="s">
        <v>127</v>
      </c>
      <c r="B10" s="466" t="str">
        <f ca="1">IFERROR('Compo.Relais(2)'!$AF6,"")</f>
        <v/>
      </c>
      <c r="C10" s="413" t="str">
        <f ca="1">IF(B10&lt;&gt;"",INDEX(Perf.Sprint!$C$4:$C$41,MATCH(B10,Perf.Sprint!$B$4:$B$41,0)),"")</f>
        <v/>
      </c>
      <c r="D10" s="413" t="s">
        <v>149</v>
      </c>
      <c r="E10" s="413" t="str">
        <f ca="1">IFERROR('Compo.Relais(2)'!$AH6,"")</f>
        <v/>
      </c>
      <c r="F10" s="413" t="str">
        <f ca="1">IF(E10&lt;&gt;"",INDEX(Perf.Sprint!$C$4:$C$41,MATCH(E10,Perf.Sprint!$B$4:$B$41,0)),"")</f>
        <v/>
      </c>
      <c r="G10" s="413" t="str">
        <f ca="1">CONCATENATE(C10,F10)</f>
        <v/>
      </c>
      <c r="H10" s="414"/>
      <c r="I10" s="415" t="str">
        <f ca="1">IF(B10&lt;&gt;0,INDEX(Perf.Sprint!$BJ$4:$BJ$40,MATCH(B10,Perf.Sprint!$B$4:$B$40,0)),"")</f>
        <v/>
      </c>
      <c r="J10" s="415" t="str">
        <f ca="1">IF(E10&lt;&gt;0,INDEX(Perf.Sprint!$BG$4:$BG$40,MATCH(E10,Perf.Sprint!$B$4:$B$40,0)),"")</f>
        <v/>
      </c>
      <c r="K10" s="416" t="str">
        <f ca="1">IFERROR(SUM(I10+J10),"")</f>
        <v/>
      </c>
      <c r="L10" s="413" t="str">
        <f ca="1">IF(K10="","",ROUND($J$2/K10,1))</f>
        <v/>
      </c>
      <c r="M10" s="417" t="str">
        <f ca="1">IF(K10="","",(L10*3600)/1000)</f>
        <v/>
      </c>
      <c r="N10" s="418"/>
      <c r="O10" s="419" t="str">
        <f>IFERROR(IF(N10="","",ROUND($J$2/N10,1)),"")</f>
        <v/>
      </c>
      <c r="P10" s="420" t="str">
        <f>IF(O10&lt;&gt;"",(O10*3600)/1000,"")</f>
        <v/>
      </c>
      <c r="Q10" s="467"/>
      <c r="R10" s="422"/>
      <c r="S10" s="423"/>
      <c r="T10" s="423"/>
      <c r="U10" s="424"/>
      <c r="V10" s="425" t="str">
        <f>IF(COUNT(N10:N11)=2,SUM(N10:N11),"")</f>
        <v/>
      </c>
      <c r="W10" s="426" t="str">
        <f ca="1">IF($V10="","",IF(OR(AND(C10="M",F10="F"),AND(C10="F",F10="M")),VLOOKUP($V10,INDIRECT("rel"),1),VLOOKUP($V10,INDIRECT(C10&amp;"rel"),1)))</f>
        <v/>
      </c>
      <c r="X10" s="426" t="str">
        <f ca="1">IFERROR(IF(OR(AND(C10="M",F10="F"),AND(C10="F",F10="M")),INDEX(INDIRECT("rel"),MATCH($V10,INDIRECT("rel"))+1),INDEX(INDIRECT(C10&amp;"rel"),MATCH($V10,INDIRECT(C10&amp;"rel"))+1)),"")</f>
        <v/>
      </c>
      <c r="Y10" s="426" t="str">
        <f ca="1">IF(X10="",W10,IF(V10=W10,W10,X10))</f>
        <v/>
      </c>
      <c r="Z10" s="427" t="str">
        <f ca="1">IF(Y10="","",IF(OR(AND(C10="M",F10="F"),AND(C10="F",F10="M")),VLOOKUP(Y10,relais,3),IF(C10="F",VLOOKUP(Y10,relaisf,7),VLOOKUP(Y10,relaisg,5))))</f>
        <v/>
      </c>
      <c r="AA10" s="428" t="str">
        <f t="shared" ref="AA10" ca="1" si="2">IFERROR(AVERAGE(Z10,Z11),"")</f>
        <v/>
      </c>
      <c r="AB10" s="471" t="str">
        <f>IFERROR(IF(COUNT($N10)=1,($N10/K10)-1,""),"")</f>
        <v/>
      </c>
      <c r="AC10" s="430" t="str">
        <f>IF($AB10&lt;&gt;"",INDEX(Barème!$AI$3:$AI$28,MATCH($AB10,Barème!$AH$3:$AH$28,-1)),"")</f>
        <v/>
      </c>
      <c r="AD10" s="428" t="str">
        <f t="shared" ref="AD10" si="3">IF(COUNT(AC10:AC11)&gt;1,AVERAGE(AC10,AC11),"")</f>
        <v/>
      </c>
      <c r="AE10" s="431" t="str">
        <f t="shared" si="0"/>
        <v/>
      </c>
      <c r="AF10" s="428" t="str">
        <f t="shared" ref="AF10" si="4">IFERROR(AVERAGE(AE10:AE11),"")</f>
        <v/>
      </c>
      <c r="AG10" s="432" t="str">
        <f>IF(COUNTA(R10)=1,COUNTIF(R10,"OUI"),"")</f>
        <v/>
      </c>
      <c r="AH10" s="433" t="str">
        <f>IF(COUNTA(U10)=1,COUNTIF(U10,"OUI"),"")</f>
        <v/>
      </c>
      <c r="AI10" s="434" t="str">
        <f>IF(COUNTA(S10:T10)=2,COUNTIF(S10:T10,"OUI"),"")</f>
        <v/>
      </c>
      <c r="AJ10" s="428" t="str">
        <f>IF(COUNT(AG10:AH10,AI11)=3,MROUND(SUM(AG10,AH10,AI11),0.25),"")</f>
        <v/>
      </c>
      <c r="AK10" s="428" t="str">
        <f t="shared" ref="AK10:AK11" si="5">IFERROR((AF10/4)*3+(AJ10/5)*3,"")</f>
        <v/>
      </c>
    </row>
    <row r="11" spans="1:37" ht="24" customHeight="1" thickBot="1">
      <c r="A11" s="321" t="s">
        <v>128</v>
      </c>
      <c r="B11" s="468" t="str">
        <f ca="1">E10</f>
        <v/>
      </c>
      <c r="C11" s="436" t="str">
        <f ca="1">IF(B11&lt;&gt;"",INDEX(Perf.Sprint!$C$4:$C$41,MATCH(B11,Perf.Sprint!$B$4:$B$41,0)),"")</f>
        <v/>
      </c>
      <c r="D11" s="436" t="s">
        <v>149</v>
      </c>
      <c r="E11" s="436" t="str">
        <f ca="1">B10</f>
        <v/>
      </c>
      <c r="F11" s="436" t="str">
        <f ca="1">IF(E11&lt;&gt;"",INDEX(Perf.Sprint!$C$4:$C$41,MATCH(E11,Perf.Sprint!$B$4:$B$41,0)),"")</f>
        <v/>
      </c>
      <c r="G11" s="436" t="str">
        <f ca="1">CONCATENATE(F11,C11)</f>
        <v/>
      </c>
      <c r="H11" s="437"/>
      <c r="I11" s="438" t="str">
        <f ca="1">IF(B11&lt;&gt;0,INDEX(Perf.Sprint!$BJ$4:$BJ$40,MATCH(B11,Perf.Sprint!$B$4:$B$40,0)),"")</f>
        <v/>
      </c>
      <c r="J11" s="438" t="str">
        <f ca="1">IF(E11&lt;&gt;0,INDEX(Perf.Sprint!$BG$4:$BG$40,MATCH(E11,Perf.Sprint!$B$4:$B$40,0)),"")</f>
        <v/>
      </c>
      <c r="K11" s="438" t="str">
        <f ca="1">IFERROR(SUM(I11+J11),"")</f>
        <v/>
      </c>
      <c r="L11" s="436" t="str">
        <f ca="1">IF(K11="","",ROUND($J$2/K11,1))</f>
        <v/>
      </c>
      <c r="M11" s="439" t="str">
        <f ca="1">IF(K11="","",(L11*3600)/1000)</f>
        <v/>
      </c>
      <c r="N11" s="440"/>
      <c r="O11" s="441" t="str">
        <f>IFERROR(IF(N11="","",ROUND($J$2/N11,1)),"")</f>
        <v/>
      </c>
      <c r="P11" s="442" t="str">
        <f>IF(O11&lt;&gt;"",(O11*3600)/1000,"")</f>
        <v/>
      </c>
      <c r="Q11" s="469"/>
      <c r="R11" s="444"/>
      <c r="S11" s="445"/>
      <c r="T11" s="445"/>
      <c r="U11" s="446"/>
      <c r="V11" s="447" t="str">
        <f>IF(COUNT(N10:N11)=2,SUM(N10:N11),"")</f>
        <v/>
      </c>
      <c r="W11" s="448" t="str">
        <f ca="1">IF($V11="","",IF(OR(AND(C11="M",F11="F"),AND(C11="F",F11="M")),VLOOKUP($V11,INDIRECT("rel"),1),VLOOKUP($V11,INDIRECT(C11&amp;"rel"),1)))</f>
        <v/>
      </c>
      <c r="X11" s="448" t="str">
        <f ca="1">IFERROR(IF(OR(AND(C11="M",F11="F"),AND(C11="F",F11="M")),INDEX(INDIRECT("rel"),MATCH($V11,INDIRECT("rel"))+1),INDEX(INDIRECT(C11&amp;"rel"),MATCH($V11,INDIRECT(C11&amp;"rel"))+1)),"")</f>
        <v/>
      </c>
      <c r="Y11" s="448" t="str">
        <f ca="1">IF(X11="",W11,IF(V11=W11,W11,X11))</f>
        <v/>
      </c>
      <c r="Z11" s="449" t="str">
        <f ca="1">IF(Y11="","",IF(OR(AND(C11="M",F11="F"),AND(C11="F",F11="M")),VLOOKUP(Y11,relais,3),IF(C11="F",VLOOKUP(Y11,relaisf,7),VLOOKUP(Y11,relaisg,5))))</f>
        <v/>
      </c>
      <c r="AA11" s="450" t="str">
        <f t="shared" ref="AA11" ca="1" si="6">IFERROR(AVERAGE(Z10,Z11),"")</f>
        <v/>
      </c>
      <c r="AB11" s="472" t="str">
        <f>IFERROR(IF(COUNT($N11)=1,($N11/K11)-1,""),"")</f>
        <v/>
      </c>
      <c r="AC11" s="452" t="str">
        <f>IF($AB11&lt;&gt;"",INDEX(Barème!$AI$3:$AI$28,MATCH($AB11,Barème!$AH$3:$AH$28,-1)),"")</f>
        <v/>
      </c>
      <c r="AD11" s="450" t="str">
        <f t="shared" ref="AD11" si="7">IF(COUNT(AC10:AC11)&gt;1,AVERAGE(AC10,AC11),"")</f>
        <v/>
      </c>
      <c r="AE11" s="453" t="str">
        <f t="shared" si="0"/>
        <v/>
      </c>
      <c r="AF11" s="450" t="str">
        <f t="shared" ref="AF11" si="8">IFERROR(AVERAGE(AE11,AE10),"")</f>
        <v/>
      </c>
      <c r="AG11" s="432" t="str">
        <f>IF(COUNTA(R11)=1,COUNTIF(R11,"OUI"),"")</f>
        <v/>
      </c>
      <c r="AH11" s="433" t="str">
        <f>IF(COUNTA(U11)=1,COUNTIF(U11,"OUI"),"")</f>
        <v/>
      </c>
      <c r="AI11" s="434" t="str">
        <f>IF(COUNTA(S11:T11)=2,COUNTIF(S11:T11,"OUI"),"")</f>
        <v/>
      </c>
      <c r="AJ11" s="450" t="str">
        <f t="shared" ref="AJ11" si="9">IF(COUNT(AG11:AH11,AI10)=3,MROUND(SUM(AG11,AH11,AI10),0.25),"")</f>
        <v/>
      </c>
      <c r="AK11" s="450" t="str">
        <f t="shared" si="5"/>
        <v/>
      </c>
    </row>
    <row r="12" spans="1:37" ht="15.75" thickBot="1">
      <c r="A12" s="330">
        <v>4</v>
      </c>
      <c r="B12" s="394" t="s">
        <v>176</v>
      </c>
      <c r="C12" s="395" t="s">
        <v>134</v>
      </c>
      <c r="D12" s="396"/>
      <c r="E12" s="396" t="s">
        <v>177</v>
      </c>
      <c r="F12" s="396" t="s">
        <v>134</v>
      </c>
      <c r="G12" s="396"/>
      <c r="H12" s="399" t="s">
        <v>187</v>
      </c>
      <c r="I12" s="398">
        <v>38</v>
      </c>
      <c r="J12" s="398">
        <v>25</v>
      </c>
      <c r="K12" s="399" t="s">
        <v>178</v>
      </c>
      <c r="L12" s="400" t="s">
        <v>139</v>
      </c>
      <c r="M12" s="397" t="s">
        <v>140</v>
      </c>
      <c r="N12" s="401" t="s">
        <v>126</v>
      </c>
      <c r="O12" s="400" t="s">
        <v>139</v>
      </c>
      <c r="P12" s="402" t="s">
        <v>140</v>
      </c>
      <c r="Q12" s="403" t="s">
        <v>170</v>
      </c>
      <c r="R12" s="454" t="s">
        <v>180</v>
      </c>
      <c r="S12" s="455" t="s">
        <v>181</v>
      </c>
      <c r="T12" s="455" t="s">
        <v>182</v>
      </c>
      <c r="U12" s="456" t="s">
        <v>183</v>
      </c>
      <c r="V12" s="457"/>
      <c r="W12" s="458"/>
      <c r="X12" s="458"/>
      <c r="Y12" s="458"/>
      <c r="Z12" s="459"/>
      <c r="AA12" s="460"/>
      <c r="AB12" s="470" t="s">
        <v>188</v>
      </c>
      <c r="AC12" s="411"/>
      <c r="AD12" s="462"/>
      <c r="AE12" s="463" t="str">
        <f t="shared" si="0"/>
        <v/>
      </c>
      <c r="AF12" s="460"/>
      <c r="AG12" s="464" t="s">
        <v>180</v>
      </c>
      <c r="AH12" s="464" t="s">
        <v>152</v>
      </c>
      <c r="AI12" s="465" t="s">
        <v>163</v>
      </c>
      <c r="AJ12" s="457"/>
      <c r="AK12" s="462"/>
    </row>
    <row r="13" spans="1:37" ht="24" customHeight="1">
      <c r="A13" s="321" t="s">
        <v>127</v>
      </c>
      <c r="B13" s="466" t="str">
        <f ca="1">IFERROR('Compo.Relais(2)'!$AF7,"")</f>
        <v/>
      </c>
      <c r="C13" s="413" t="str">
        <f ca="1">IF(B13&lt;&gt;"",INDEX(Perf.Sprint!$C$4:$C$41,MATCH(B13,Perf.Sprint!$B$4:$B$41,0)),"")</f>
        <v/>
      </c>
      <c r="D13" s="413" t="s">
        <v>149</v>
      </c>
      <c r="E13" s="413" t="str">
        <f ca="1">IFERROR('Compo.Relais(2)'!$AH7,"")</f>
        <v/>
      </c>
      <c r="F13" s="413" t="str">
        <f ca="1">IF(E13&lt;&gt;"",INDEX(Perf.Sprint!$C$4:$C$41,MATCH(E13,Perf.Sprint!$B$4:$B$41,0)),"")</f>
        <v/>
      </c>
      <c r="G13" s="413" t="str">
        <f ca="1">CONCATENATE(C13,F13)</f>
        <v/>
      </c>
      <c r="H13" s="414"/>
      <c r="I13" s="415" t="str">
        <f ca="1">IF(B13&lt;&gt;0,INDEX(Perf.Sprint!$BJ$4:$BJ$40,MATCH(B13,Perf.Sprint!$B$4:$B$40,0)),"")</f>
        <v/>
      </c>
      <c r="J13" s="415" t="str">
        <f ca="1">IF(E13&lt;&gt;0,INDEX(Perf.Sprint!$BG$4:$BG$40,MATCH(E13,Perf.Sprint!$B$4:$B$40,0)),"")</f>
        <v/>
      </c>
      <c r="K13" s="416" t="str">
        <f ca="1">IFERROR(SUM(I13+J13),"")</f>
        <v/>
      </c>
      <c r="L13" s="413" t="str">
        <f ca="1">IF(K13="","",ROUND($J$2/K13,1))</f>
        <v/>
      </c>
      <c r="M13" s="417" t="str">
        <f ca="1">IF(K13="","",(L13*3600)/1000)</f>
        <v/>
      </c>
      <c r="N13" s="418"/>
      <c r="O13" s="419" t="str">
        <f>IFERROR(IF(N13="","",ROUND($J$2/N13,1)),"")</f>
        <v/>
      </c>
      <c r="P13" s="420" t="str">
        <f>IF(O13&lt;&gt;"",(O13*3600)/1000,"")</f>
        <v/>
      </c>
      <c r="Q13" s="467"/>
      <c r="R13" s="422"/>
      <c r="S13" s="423"/>
      <c r="T13" s="423"/>
      <c r="U13" s="424"/>
      <c r="V13" s="425" t="str">
        <f>IF(COUNT(N13:N14)=2,SUM(N13:N14),"")</f>
        <v/>
      </c>
      <c r="W13" s="426" t="str">
        <f ca="1">IF($V13="","",IF(OR(AND(C13="M",F13="F"),AND(C13="F",F13="M")),VLOOKUP($V13,INDIRECT("rel"),1),VLOOKUP($V13,INDIRECT(C13&amp;"rel"),1)))</f>
        <v/>
      </c>
      <c r="X13" s="426" t="str">
        <f ca="1">IFERROR(IF(OR(AND(C13="M",F13="F"),AND(C13="F",F13="M")),INDEX(INDIRECT("rel"),MATCH($V13,INDIRECT("rel"))+1),INDEX(INDIRECT(C13&amp;"rel"),MATCH($V13,INDIRECT(C13&amp;"rel"))+1)),"")</f>
        <v/>
      </c>
      <c r="Y13" s="426" t="str">
        <f ca="1">IF(X13="",W13,IF(V13=W13,W13,X13))</f>
        <v/>
      </c>
      <c r="Z13" s="427" t="str">
        <f ca="1">IF(Y13="","",IF(OR(AND(C13="M",F13="F"),AND(C13="F",F13="M")),VLOOKUP(Y13,relais,3),IF(C13="F",VLOOKUP(Y13,relaisf,7),VLOOKUP(Y13,relaisg,5))))</f>
        <v/>
      </c>
      <c r="AA13" s="428" t="str">
        <f t="shared" ref="AA13" ca="1" si="10">IFERROR(AVERAGE(Z13,Z14),"")</f>
        <v/>
      </c>
      <c r="AB13" s="471" t="str">
        <f>IFERROR(IF(COUNT($N13)=1,($N13/K13)-1,""),"")</f>
        <v/>
      </c>
      <c r="AC13" s="430" t="str">
        <f>IF($AB13&lt;&gt;"",INDEX(Barème!$AI$3:$AI$28,MATCH($AB13,Barème!$AH$3:$AH$28,-1)),"")</f>
        <v/>
      </c>
      <c r="AD13" s="428" t="str">
        <f t="shared" ref="AD13" si="11">IF(COUNT(AC13:AC14)&gt;1,AVERAGE(AC13,AC14),"")</f>
        <v/>
      </c>
      <c r="AE13" s="431" t="str">
        <f t="shared" si="0"/>
        <v/>
      </c>
      <c r="AF13" s="428" t="str">
        <f t="shared" ref="AF13" si="12">IFERROR(AVERAGE(AE13:AE14),"")</f>
        <v/>
      </c>
      <c r="AG13" s="432" t="str">
        <f>IF(COUNTA(R13:S13)=2,COUNTIF(R13:S13,"OUI"),"")</f>
        <v/>
      </c>
      <c r="AH13" s="433" t="str">
        <f>IF(COUNTA(U13)=1,COUNTIF(U13,"OUI"),"")</f>
        <v/>
      </c>
      <c r="AI13" s="434" t="str">
        <f>IF(COUNTA(S13:T13)=2,COUNTIF(S13:T13,"OUI"),"")</f>
        <v/>
      </c>
      <c r="AJ13" s="428" t="str">
        <f>IF(COUNT(AG13:AH13,AI14)=3,MROUND(SUM(AG13,AH13,AI14),0.25),"")</f>
        <v/>
      </c>
      <c r="AK13" s="428" t="str">
        <f t="shared" ref="AK13:AK14" si="13">IFERROR((AF13/4)*3+(AJ13/5)*3,"")</f>
        <v/>
      </c>
    </row>
    <row r="14" spans="1:37" ht="24" customHeight="1" thickBot="1">
      <c r="A14" s="321" t="s">
        <v>128</v>
      </c>
      <c r="B14" s="468" t="str">
        <f ca="1">E13</f>
        <v/>
      </c>
      <c r="C14" s="436" t="str">
        <f ca="1">IF(B14&lt;&gt;"",INDEX(Perf.Sprint!$C$4:$C$41,MATCH(B14,Perf.Sprint!$B$4:$B$41,0)),"")</f>
        <v/>
      </c>
      <c r="D14" s="436" t="s">
        <v>149</v>
      </c>
      <c r="E14" s="436" t="str">
        <f ca="1">B13</f>
        <v/>
      </c>
      <c r="F14" s="436" t="str">
        <f ca="1">IF(E14&lt;&gt;"",INDEX(Perf.Sprint!$C$4:$C$41,MATCH(E14,Perf.Sprint!$B$4:$B$41,0)),"")</f>
        <v/>
      </c>
      <c r="G14" s="436" t="str">
        <f ca="1">CONCATENATE(F14,C14)</f>
        <v/>
      </c>
      <c r="H14" s="437"/>
      <c r="I14" s="438" t="str">
        <f ca="1">IF(B14&lt;&gt;0,INDEX(Perf.Sprint!$BJ$4:$BJ$40,MATCH(B14,Perf.Sprint!$B$4:$B$40,0)),"")</f>
        <v/>
      </c>
      <c r="J14" s="438" t="str">
        <f ca="1">IF(E14&lt;&gt;0,INDEX(Perf.Sprint!$BG$4:$BG$40,MATCH(E14,Perf.Sprint!$B$4:$B$40,0)),"")</f>
        <v/>
      </c>
      <c r="K14" s="438" t="str">
        <f ca="1">IFERROR(SUM(I14+J14),"")</f>
        <v/>
      </c>
      <c r="L14" s="436" t="str">
        <f ca="1">IF(K14="","",ROUND($J$2/K14,1))</f>
        <v/>
      </c>
      <c r="M14" s="439" t="str">
        <f ca="1">IF(K14="","",(L14*3600)/1000)</f>
        <v/>
      </c>
      <c r="N14" s="440"/>
      <c r="O14" s="441" t="str">
        <f>IFERROR(IF(N14="","",ROUND($J$2/N14,1)),"")</f>
        <v/>
      </c>
      <c r="P14" s="442" t="str">
        <f>IF(O14&lt;&gt;"",(O14*3600)/1000,"")</f>
        <v/>
      </c>
      <c r="Q14" s="469"/>
      <c r="R14" s="444"/>
      <c r="S14" s="445"/>
      <c r="T14" s="445"/>
      <c r="U14" s="446"/>
      <c r="V14" s="447" t="str">
        <f>IF(COUNT(N13:N14)=2,SUM(N13:N14),"")</f>
        <v/>
      </c>
      <c r="W14" s="448" t="str">
        <f ca="1">IF($V14="","",IF(OR(AND(C14="M",F14="F"),AND(C14="F",F14="M")),VLOOKUP($V14,INDIRECT("rel"),1),VLOOKUP($V14,INDIRECT(C14&amp;"rel"),1)))</f>
        <v/>
      </c>
      <c r="X14" s="448" t="str">
        <f ca="1">IFERROR(IF(OR(AND(C14="M",F14="F"),AND(C14="F",F14="M")),INDEX(INDIRECT("rel"),MATCH($V14,INDIRECT("rel"))+1),INDEX(INDIRECT(C14&amp;"rel"),MATCH($V14,INDIRECT(C14&amp;"rel"))+1)),"")</f>
        <v/>
      </c>
      <c r="Y14" s="448" t="str">
        <f ca="1">IF(X14="",W14,IF(V14=W14,W14,X14))</f>
        <v/>
      </c>
      <c r="Z14" s="449" t="str">
        <f ca="1">IF(Y14="","",IF(OR(AND(C14="M",F14="F"),AND(C14="F",F14="M")),VLOOKUP(Y14,relais,3),IF(C14="F",VLOOKUP(Y14,relaisf,7),VLOOKUP(Y14,relaisg,5))))</f>
        <v/>
      </c>
      <c r="AA14" s="450" t="str">
        <f t="shared" ref="AA14" ca="1" si="14">IFERROR(AVERAGE(Z13,Z14),"")</f>
        <v/>
      </c>
      <c r="AB14" s="472" t="str">
        <f>IFERROR(IF(COUNT($N14)=1,($N14/K14)-1,""),"")</f>
        <v/>
      </c>
      <c r="AC14" s="452" t="str">
        <f>IF($AB14&lt;&gt;"",INDEX(Barème!$AI$3:$AI$28,MATCH($AB14,Barème!$AH$3:$AH$28,-1)),"")</f>
        <v/>
      </c>
      <c r="AD14" s="450" t="str">
        <f t="shared" ref="AD14" si="15">IF(COUNT(AC13:AC14)&gt;1,AVERAGE(AC13,AC14),"")</f>
        <v/>
      </c>
      <c r="AE14" s="453" t="str">
        <f t="shared" si="0"/>
        <v/>
      </c>
      <c r="AF14" s="450" t="str">
        <f t="shared" ref="AF14" si="16">IFERROR(AVERAGE(AE14,AE13),"")</f>
        <v/>
      </c>
      <c r="AG14" s="432" t="str">
        <f>IF(COUNTA(R14:S14)=2,COUNTIF(R14:S14,"OUI"),"")</f>
        <v/>
      </c>
      <c r="AH14" s="433" t="str">
        <f>IF(COUNTA(U14)=1,COUNTIF(U14,"OUI"),"")</f>
        <v/>
      </c>
      <c r="AI14" s="434" t="str">
        <f>IF(COUNTA(S14:T14)=2,COUNTIF(S14:T14,"OUI"),"")</f>
        <v/>
      </c>
      <c r="AJ14" s="450" t="str">
        <f t="shared" ref="AJ14" si="17">IF(COUNT(AG14:AH14,AI13)=3,MROUND(SUM(AG14,AH14,AI13),0.25),"")</f>
        <v/>
      </c>
      <c r="AK14" s="450" t="str">
        <f t="shared" si="13"/>
        <v/>
      </c>
    </row>
    <row r="15" spans="1:37" ht="15.75" thickBot="1">
      <c r="A15" s="330">
        <v>5</v>
      </c>
      <c r="B15" s="394" t="s">
        <v>176</v>
      </c>
      <c r="C15" s="395" t="s">
        <v>134</v>
      </c>
      <c r="D15" s="396"/>
      <c r="E15" s="396" t="s">
        <v>177</v>
      </c>
      <c r="F15" s="396" t="s">
        <v>134</v>
      </c>
      <c r="G15" s="396"/>
      <c r="H15" s="399" t="s">
        <v>187</v>
      </c>
      <c r="I15" s="398">
        <v>39</v>
      </c>
      <c r="J15" s="398">
        <v>25</v>
      </c>
      <c r="K15" s="399" t="s">
        <v>178</v>
      </c>
      <c r="L15" s="400" t="s">
        <v>139</v>
      </c>
      <c r="M15" s="397" t="s">
        <v>140</v>
      </c>
      <c r="N15" s="401" t="s">
        <v>126</v>
      </c>
      <c r="O15" s="400" t="s">
        <v>139</v>
      </c>
      <c r="P15" s="402" t="s">
        <v>140</v>
      </c>
      <c r="Q15" s="403" t="s">
        <v>170</v>
      </c>
      <c r="R15" s="454" t="s">
        <v>180</v>
      </c>
      <c r="S15" s="455" t="s">
        <v>181</v>
      </c>
      <c r="T15" s="455" t="s">
        <v>182</v>
      </c>
      <c r="U15" s="456" t="s">
        <v>183</v>
      </c>
      <c r="V15" s="457"/>
      <c r="W15" s="458"/>
      <c r="X15" s="458"/>
      <c r="Y15" s="458"/>
      <c r="Z15" s="459"/>
      <c r="AA15" s="460"/>
      <c r="AB15" s="470" t="s">
        <v>188</v>
      </c>
      <c r="AC15" s="411"/>
      <c r="AD15" s="462"/>
      <c r="AE15" s="463" t="str">
        <f t="shared" si="0"/>
        <v/>
      </c>
      <c r="AF15" s="460"/>
      <c r="AG15" s="464" t="s">
        <v>180</v>
      </c>
      <c r="AH15" s="464" t="s">
        <v>152</v>
      </c>
      <c r="AI15" s="465" t="s">
        <v>163</v>
      </c>
      <c r="AJ15" s="457"/>
      <c r="AK15" s="462"/>
    </row>
    <row r="16" spans="1:37" ht="24" customHeight="1">
      <c r="A16" s="321" t="s">
        <v>127</v>
      </c>
      <c r="B16" s="466" t="str">
        <f ca="1">IFERROR('Compo.Relais(2)'!$AF8,"")</f>
        <v/>
      </c>
      <c r="C16" s="413" t="str">
        <f ca="1">IF(B16&lt;&gt;"",INDEX(Perf.Sprint!$C$4:$C$41,MATCH(B16,Perf.Sprint!$B$4:$B$41,0)),"")</f>
        <v/>
      </c>
      <c r="D16" s="413" t="s">
        <v>149</v>
      </c>
      <c r="E16" s="413" t="str">
        <f ca="1">IFERROR('Compo.Relais(2)'!$AH8,"")</f>
        <v/>
      </c>
      <c r="F16" s="413" t="str">
        <f ca="1">IF(E16&lt;&gt;"",INDEX(Perf.Sprint!$C$4:$C$41,MATCH(E16,Perf.Sprint!$B$4:$B$41,0)),"")</f>
        <v/>
      </c>
      <c r="G16" s="413" t="str">
        <f ca="1">CONCATENATE(C16,F16)</f>
        <v/>
      </c>
      <c r="H16" s="414"/>
      <c r="I16" s="415" t="str">
        <f ca="1">IF(B16&lt;&gt;0,INDEX(Perf.Sprint!$BJ$4:$BJ$40,MATCH(B16,Perf.Sprint!$B$4:$B$40,0)),"")</f>
        <v/>
      </c>
      <c r="J16" s="415" t="str">
        <f ca="1">IF(E16&lt;&gt;0,INDEX(Perf.Sprint!$BG$4:$BG$40,MATCH(E16,Perf.Sprint!$B$4:$B$40,0)),"")</f>
        <v/>
      </c>
      <c r="K16" s="416" t="str">
        <f ca="1">IFERROR(SUM(I16+J16),"")</f>
        <v/>
      </c>
      <c r="L16" s="413" t="str">
        <f ca="1">IF(K16="","",ROUND($J$2/K16,1))</f>
        <v/>
      </c>
      <c r="M16" s="417" t="str">
        <f ca="1">IF(K16="","",(L16*3600)/1000)</f>
        <v/>
      </c>
      <c r="N16" s="473"/>
      <c r="O16" s="419" t="str">
        <f>IFERROR(IF(N16="","",ROUND($J$2/N16,1)),"")</f>
        <v/>
      </c>
      <c r="P16" s="420" t="str">
        <f>IF(O16&lt;&gt;"",(O16*3600)/1000,"")</f>
        <v/>
      </c>
      <c r="Q16" s="467"/>
      <c r="R16" s="422"/>
      <c r="S16" s="423"/>
      <c r="T16" s="423"/>
      <c r="U16" s="424"/>
      <c r="V16" s="425" t="str">
        <f>IF(COUNT(N16:N17)=2,SUM(N16:N17),"")</f>
        <v/>
      </c>
      <c r="W16" s="426" t="str">
        <f ca="1">IF($V16="","",IF(OR(AND(C16="M",F16="F"),AND(C16="F",F16="M")),VLOOKUP($V16,INDIRECT("rel"),1),VLOOKUP($V16,INDIRECT(C16&amp;"rel"),1)))</f>
        <v/>
      </c>
      <c r="X16" s="426" t="str">
        <f ca="1">IFERROR(IF(OR(AND(C16="M",F16="F"),AND(C16="F",F16="M")),INDEX(INDIRECT("rel"),MATCH($V16,INDIRECT("rel"))+1),INDEX(INDIRECT(C16&amp;"rel"),MATCH($V16,INDIRECT(C16&amp;"rel"))+1)),"")</f>
        <v/>
      </c>
      <c r="Y16" s="426" t="str">
        <f ca="1">IF(X16="",W16,IF(V16=W16,W16,X16))</f>
        <v/>
      </c>
      <c r="Z16" s="427" t="str">
        <f ca="1">IF(Y16="","",IF(OR(AND(C16="M",F16="F"),AND(C16="F",F16="M")),VLOOKUP(Y16,relais,3),IF(C16="F",VLOOKUP(Y16,relaisf,7),VLOOKUP(Y16,relaisg,5))))</f>
        <v/>
      </c>
      <c r="AA16" s="428" t="str">
        <f t="shared" ref="AA16" ca="1" si="18">IFERROR(AVERAGE(Z16,Z17),"")</f>
        <v/>
      </c>
      <c r="AB16" s="471" t="str">
        <f>IFERROR(IF(COUNT($N16)=1,($N16/K16)-1,""),"")</f>
        <v/>
      </c>
      <c r="AC16" s="430" t="str">
        <f>IF($AB16&lt;&gt;"",INDEX(Barème!$AI$3:$AI$28,MATCH($AB16,Barème!$AH$3:$AH$28,-1)),"")</f>
        <v/>
      </c>
      <c r="AD16" s="428" t="str">
        <f t="shared" ref="AD16" si="19">IF(COUNT(AC16:AC17)&gt;1,AVERAGE(AC16,AC17),"")</f>
        <v/>
      </c>
      <c r="AE16" s="431" t="str">
        <f t="shared" si="0"/>
        <v/>
      </c>
      <c r="AF16" s="428" t="str">
        <f t="shared" ref="AF16" si="20">IFERROR(AVERAGE(AE16:AE17),"")</f>
        <v/>
      </c>
      <c r="AG16" s="432" t="str">
        <f>IF(COUNTA(R16:S16)=2,COUNTIF(R16:S16,"OUI"),"")</f>
        <v/>
      </c>
      <c r="AH16" s="433" t="str">
        <f>IF(COUNTA(U16)=1,COUNTIF(U16,"OUI"),"")</f>
        <v/>
      </c>
      <c r="AI16" s="434" t="str">
        <f>IF(COUNTA(S16:T16)=2,COUNTIF(S16:T16,"OUI"),"")</f>
        <v/>
      </c>
      <c r="AJ16" s="428" t="str">
        <f>IF(COUNT(AG16:AH16,AI17)=3,MROUND(SUM(AG16,AH16,AI17),0.25),"")</f>
        <v/>
      </c>
      <c r="AK16" s="428" t="str">
        <f t="shared" ref="AK16:AK17" si="21">IFERROR((AF16/4)*3+(AJ16/5)*3,"")</f>
        <v/>
      </c>
    </row>
    <row r="17" spans="1:37" ht="24" customHeight="1" thickBot="1">
      <c r="A17" s="321" t="s">
        <v>128</v>
      </c>
      <c r="B17" s="468" t="str">
        <f ca="1">E16</f>
        <v/>
      </c>
      <c r="C17" s="436" t="str">
        <f ca="1">IF(B17&lt;&gt;"",INDEX(Perf.Sprint!$C$4:$C$41,MATCH(B17,Perf.Sprint!$B$4:$B$41,0)),"")</f>
        <v/>
      </c>
      <c r="D17" s="436" t="s">
        <v>149</v>
      </c>
      <c r="E17" s="436" t="str">
        <f ca="1">B16</f>
        <v/>
      </c>
      <c r="F17" s="436" t="str">
        <f ca="1">IF(E17&lt;&gt;"",INDEX(Perf.Sprint!$C$4:$C$41,MATCH(E17,Perf.Sprint!$B$4:$B$41,0)),"")</f>
        <v/>
      </c>
      <c r="G17" s="436" t="str">
        <f ca="1">CONCATENATE(F17,C17)</f>
        <v/>
      </c>
      <c r="H17" s="437"/>
      <c r="I17" s="438" t="str">
        <f ca="1">IF(B17&lt;&gt;0,INDEX(Perf.Sprint!$BJ$4:$BJ$40,MATCH(B17,Perf.Sprint!$B$4:$B$40,0)),"")</f>
        <v/>
      </c>
      <c r="J17" s="438" t="str">
        <f ca="1">IF(E17&lt;&gt;0,INDEX(Perf.Sprint!$BG$4:$BG$40,MATCH(E17,Perf.Sprint!$B$4:$B$40,0)),"")</f>
        <v/>
      </c>
      <c r="K17" s="438" t="str">
        <f ca="1">IFERROR(SUM(I17+J17),"")</f>
        <v/>
      </c>
      <c r="L17" s="436" t="str">
        <f ca="1">IF(K17="","",ROUND($J$2/K17,1))</f>
        <v/>
      </c>
      <c r="M17" s="439" t="str">
        <f ca="1">IF(K17="","",(L17*3600)/1000)</f>
        <v/>
      </c>
      <c r="N17" s="474"/>
      <c r="O17" s="441" t="str">
        <f>IFERROR(IF(N17="","",ROUND($J$2/N17,1)),"")</f>
        <v/>
      </c>
      <c r="P17" s="442" t="str">
        <f>IF(O17&lt;&gt;"",(O17*3600)/1000,"")</f>
        <v/>
      </c>
      <c r="Q17" s="469"/>
      <c r="R17" s="444"/>
      <c r="S17" s="445"/>
      <c r="T17" s="445"/>
      <c r="U17" s="446"/>
      <c r="V17" s="447" t="str">
        <f>IF(COUNT(N16:N17)=2,SUM(N16:N17),"")</f>
        <v/>
      </c>
      <c r="W17" s="448" t="str">
        <f ca="1">IF($V17="","",IF(OR(AND(C17="M",F17="F"),AND(C17="F",F17="M")),VLOOKUP($V17,INDIRECT("rel"),1),VLOOKUP($V17,INDIRECT(C17&amp;"rel"),1)))</f>
        <v/>
      </c>
      <c r="X17" s="448" t="str">
        <f ca="1">IFERROR(IF(OR(AND(C17="M",F17="F"),AND(C17="F",F17="M")),INDEX(INDIRECT("rel"),MATCH($V17,INDIRECT("rel"))+1),INDEX(INDIRECT(C17&amp;"rel"),MATCH($V17,INDIRECT(C17&amp;"rel"))+1)),"")</f>
        <v/>
      </c>
      <c r="Y17" s="448" t="str">
        <f ca="1">IF(X17="",W17,IF(V17=W17,W17,X17))</f>
        <v/>
      </c>
      <c r="Z17" s="449" t="str">
        <f ca="1">IF(Y17="","",IF(OR(AND(C17="M",F17="F"),AND(C17="F",F17="M")),VLOOKUP(Y17,relais,3),IF(C17="F",VLOOKUP(Y17,relaisf,7),VLOOKUP(Y17,relaisg,5))))</f>
        <v/>
      </c>
      <c r="AA17" s="450" t="str">
        <f t="shared" ref="AA17" ca="1" si="22">IFERROR(AVERAGE(Z16,Z17),"")</f>
        <v/>
      </c>
      <c r="AB17" s="472" t="str">
        <f>IFERROR(IF(COUNT($N17)=1,($N17/K17)-1,""),"")</f>
        <v/>
      </c>
      <c r="AC17" s="452" t="str">
        <f>IF($AB17&lt;&gt;"",INDEX(Barème!$AI$3:$AI$28,MATCH($AB17,Barème!$AH$3:$AH$28,-1)),"")</f>
        <v/>
      </c>
      <c r="AD17" s="450" t="str">
        <f t="shared" ref="AD17" si="23">IF(COUNT(AC16:AC17)&gt;1,AVERAGE(AC16,AC17),"")</f>
        <v/>
      </c>
      <c r="AE17" s="453" t="str">
        <f t="shared" si="0"/>
        <v/>
      </c>
      <c r="AF17" s="450" t="str">
        <f t="shared" ref="AF17" si="24">IFERROR(AVERAGE(AE17,AE16),"")</f>
        <v/>
      </c>
      <c r="AG17" s="432" t="str">
        <f>IF(COUNTA(R17:S17)=2,COUNTIF(R17:S17,"OUI"),"")</f>
        <v/>
      </c>
      <c r="AH17" s="433" t="str">
        <f>IF(COUNTA(U17)=1,COUNTIF(U17,"OUI"),"")</f>
        <v/>
      </c>
      <c r="AI17" s="434" t="str">
        <f>IF(COUNTA(S17:T17)=2,COUNTIF(S17:T17,"OUI"),"")</f>
        <v/>
      </c>
      <c r="AJ17" s="450" t="str">
        <f t="shared" ref="AJ17" si="25">IF(COUNT(AG17:AH17,AI16)=3,MROUND(SUM(AG17,AH17,AI16),0.25),"")</f>
        <v/>
      </c>
      <c r="AK17" s="450" t="str">
        <f t="shared" si="21"/>
        <v/>
      </c>
    </row>
    <row r="18" spans="1:37" ht="15.75" thickBot="1">
      <c r="A18" s="330">
        <v>6</v>
      </c>
      <c r="B18" s="394" t="s">
        <v>176</v>
      </c>
      <c r="C18" s="395" t="s">
        <v>134</v>
      </c>
      <c r="D18" s="396"/>
      <c r="E18" s="396" t="s">
        <v>177</v>
      </c>
      <c r="F18" s="396" t="s">
        <v>134</v>
      </c>
      <c r="G18" s="396"/>
      <c r="H18" s="399" t="s">
        <v>187</v>
      </c>
      <c r="I18" s="398">
        <v>40</v>
      </c>
      <c r="J18" s="398">
        <v>25</v>
      </c>
      <c r="K18" s="399" t="s">
        <v>178</v>
      </c>
      <c r="L18" s="400" t="s">
        <v>139</v>
      </c>
      <c r="M18" s="397" t="s">
        <v>140</v>
      </c>
      <c r="N18" s="401" t="s">
        <v>126</v>
      </c>
      <c r="O18" s="400" t="s">
        <v>139</v>
      </c>
      <c r="P18" s="402" t="s">
        <v>140</v>
      </c>
      <c r="Q18" s="403" t="s">
        <v>170</v>
      </c>
      <c r="R18" s="454" t="s">
        <v>180</v>
      </c>
      <c r="S18" s="455" t="s">
        <v>181</v>
      </c>
      <c r="T18" s="455" t="s">
        <v>182</v>
      </c>
      <c r="U18" s="456" t="s">
        <v>183</v>
      </c>
      <c r="V18" s="457"/>
      <c r="W18" s="458"/>
      <c r="X18" s="458"/>
      <c r="Y18" s="458"/>
      <c r="Z18" s="459"/>
      <c r="AA18" s="460"/>
      <c r="AB18" s="470" t="s">
        <v>188</v>
      </c>
      <c r="AC18" s="411"/>
      <c r="AD18" s="462"/>
      <c r="AE18" s="463" t="str">
        <f t="shared" si="0"/>
        <v/>
      </c>
      <c r="AF18" s="460"/>
      <c r="AG18" s="464" t="s">
        <v>180</v>
      </c>
      <c r="AH18" s="464" t="s">
        <v>152</v>
      </c>
      <c r="AI18" s="465" t="s">
        <v>163</v>
      </c>
      <c r="AJ18" s="457"/>
      <c r="AK18" s="462"/>
    </row>
    <row r="19" spans="1:37" ht="24" customHeight="1">
      <c r="A19" s="321" t="s">
        <v>127</v>
      </c>
      <c r="B19" s="466" t="str">
        <f ca="1">IFERROR('Compo.Relais(2)'!$AF9,"")</f>
        <v/>
      </c>
      <c r="C19" s="413" t="str">
        <f ca="1">IF(B19&lt;&gt;"",INDEX(Perf.Sprint!$C$4:$C$41,MATCH(B19,Perf.Sprint!$B$4:$B$41,0)),"")</f>
        <v/>
      </c>
      <c r="D19" s="413" t="s">
        <v>149</v>
      </c>
      <c r="E19" s="413" t="str">
        <f ca="1">IFERROR('Compo.Relais(2)'!$AH9,"")</f>
        <v/>
      </c>
      <c r="F19" s="413" t="str">
        <f ca="1">IF(E19&lt;&gt;"",INDEX(Perf.Sprint!$C$4:$C$41,MATCH(E19,Perf.Sprint!$B$4:$B$41,0)),"")</f>
        <v/>
      </c>
      <c r="G19" s="413" t="str">
        <f ca="1">CONCATENATE(C19,F19)</f>
        <v/>
      </c>
      <c r="H19" s="414"/>
      <c r="I19" s="415" t="str">
        <f ca="1">IF(B19&lt;&gt;0,INDEX(Perf.Sprint!$BJ$4:$BJ$40,MATCH(B19,Perf.Sprint!$B$4:$B$40,0)),"")</f>
        <v/>
      </c>
      <c r="J19" s="415" t="str">
        <f ca="1">IF(E19&lt;&gt;0,INDEX(Perf.Sprint!$BG$4:$BG$40,MATCH(E19,Perf.Sprint!$B$4:$B$40,0)),"")</f>
        <v/>
      </c>
      <c r="K19" s="416" t="str">
        <f ca="1">IFERROR(SUM(I19+J19),"")</f>
        <v/>
      </c>
      <c r="L19" s="413" t="str">
        <f ca="1">IF(K19="","",ROUND($J$2/K19,1))</f>
        <v/>
      </c>
      <c r="M19" s="417" t="str">
        <f ca="1">IF(K19="","",(L19*3600)/1000)</f>
        <v/>
      </c>
      <c r="N19" s="473"/>
      <c r="O19" s="419" t="str">
        <f>IFERROR(IF(N19="","",ROUND($J$2/N19,1)),"")</f>
        <v/>
      </c>
      <c r="P19" s="420" t="str">
        <f>IF(O19&lt;&gt;"",(O19*3600)/1000,"")</f>
        <v/>
      </c>
      <c r="Q19" s="467"/>
      <c r="R19" s="422"/>
      <c r="S19" s="423"/>
      <c r="T19" s="423"/>
      <c r="U19" s="424"/>
      <c r="V19" s="425" t="str">
        <f>IF(COUNT(N19:N20)=2,SUM(N19:N20),"")</f>
        <v/>
      </c>
      <c r="W19" s="426" t="str">
        <f ca="1">IF($V19="","",IF(OR(AND(C19="M",F19="F"),AND(C19="F",F19="M")),VLOOKUP($V19,INDIRECT("rel"),1),VLOOKUP($V19,INDIRECT(C19&amp;"rel"),1)))</f>
        <v/>
      </c>
      <c r="X19" s="426" t="str">
        <f ca="1">IFERROR(IF(OR(AND(C19="M",F19="F"),AND(C19="F",F19="M")),INDEX(INDIRECT("rel"),MATCH($V19,INDIRECT("rel"))+1),INDEX(INDIRECT(C19&amp;"rel"),MATCH($V19,INDIRECT(C19&amp;"rel"))+1)),"")</f>
        <v/>
      </c>
      <c r="Y19" s="426" t="str">
        <f ca="1">IF(X19="",W19,IF(V19=W19,W19,X19))</f>
        <v/>
      </c>
      <c r="Z19" s="427" t="str">
        <f ca="1">IF(Y19="","",IF(OR(AND(C19="M",F19="F"),AND(C19="F",F19="M")),VLOOKUP(Y19,relais,3),IF(C19="F",VLOOKUP(Y19,relaisf,7),VLOOKUP(Y19,relaisg,5))))</f>
        <v/>
      </c>
      <c r="AA19" s="428" t="str">
        <f t="shared" ref="AA19" ca="1" si="26">IFERROR(AVERAGE(Z19,Z20),"")</f>
        <v/>
      </c>
      <c r="AB19" s="471" t="str">
        <f>IFERROR(IF(COUNT($N19)=1,($N19/K19)-1,""),"")</f>
        <v/>
      </c>
      <c r="AC19" s="430" t="str">
        <f>IF($AB19&lt;&gt;"",INDEX(Barème!$AI$3:$AI$28,MATCH($AB19,Barème!$AH$3:$AH$28,-1)),"")</f>
        <v/>
      </c>
      <c r="AD19" s="428" t="str">
        <f t="shared" ref="AD19" si="27">IF(COUNT(AC19:AC20)&gt;1,AVERAGE(AC19,AC20),"")</f>
        <v/>
      </c>
      <c r="AE19" s="431" t="str">
        <f t="shared" si="0"/>
        <v/>
      </c>
      <c r="AF19" s="428" t="str">
        <f t="shared" ref="AF19" si="28">IFERROR(AVERAGE(AE19:AE20),"")</f>
        <v/>
      </c>
      <c r="AG19" s="432" t="str">
        <f>IF(COUNTA(R19:S19)=2,COUNTIF(R19:S19,"OUI"),"")</f>
        <v/>
      </c>
      <c r="AH19" s="433" t="str">
        <f>IF(COUNTA(U19)=1,COUNTIF(U19,"OUI"),"")</f>
        <v/>
      </c>
      <c r="AI19" s="434" t="str">
        <f>IF(COUNTA(S19:T19)=2,COUNTIF(S19:T19,"OUI"),"")</f>
        <v/>
      </c>
      <c r="AJ19" s="428" t="str">
        <f>IF(COUNT(AG19:AH19,AI20)=3,MROUND(SUM(AG19,AH19,AI20),0.25),"")</f>
        <v/>
      </c>
      <c r="AK19" s="428" t="str">
        <f t="shared" ref="AK19:AK20" si="29">IFERROR((AF19/4)*3+(AJ19/5)*3,"")</f>
        <v/>
      </c>
    </row>
    <row r="20" spans="1:37" ht="24" customHeight="1" thickBot="1">
      <c r="A20" s="321" t="s">
        <v>128</v>
      </c>
      <c r="B20" s="468" t="str">
        <f ca="1">E19</f>
        <v/>
      </c>
      <c r="C20" s="436" t="str">
        <f ca="1">IF(B20&lt;&gt;"",INDEX(Perf.Sprint!$C$4:$C$41,MATCH(B20,Perf.Sprint!$B$4:$B$41,0)),"")</f>
        <v/>
      </c>
      <c r="D20" s="436" t="s">
        <v>149</v>
      </c>
      <c r="E20" s="436" t="str">
        <f ca="1">B19</f>
        <v/>
      </c>
      <c r="F20" s="436" t="str">
        <f ca="1">IF(E20&lt;&gt;"",INDEX(Perf.Sprint!$C$4:$C$41,MATCH(E20,Perf.Sprint!$B$4:$B$41,0)),"")</f>
        <v/>
      </c>
      <c r="G20" s="436" t="str">
        <f ca="1">CONCATENATE(F20,C20)</f>
        <v/>
      </c>
      <c r="H20" s="437"/>
      <c r="I20" s="438" t="str">
        <f ca="1">IF(B20&lt;&gt;0,INDEX(Perf.Sprint!$BJ$4:$BJ$40,MATCH(B20,Perf.Sprint!$B$4:$B$40,0)),"")</f>
        <v/>
      </c>
      <c r="J20" s="438" t="str">
        <f ca="1">IF(E20&lt;&gt;0,INDEX(Perf.Sprint!$BG$4:$BG$40,MATCH(E20,Perf.Sprint!$B$4:$B$40,0)),"")</f>
        <v/>
      </c>
      <c r="K20" s="438" t="str">
        <f ca="1">IFERROR(SUM(I20+J20),"")</f>
        <v/>
      </c>
      <c r="L20" s="436" t="str">
        <f ca="1">IF(K20="","",ROUND($J$2/K20,1))</f>
        <v/>
      </c>
      <c r="M20" s="439" t="str">
        <f ca="1">IF(K20="","",(L20*3600)/1000)</f>
        <v/>
      </c>
      <c r="N20" s="474"/>
      <c r="O20" s="441" t="str">
        <f>IFERROR(IF(N20="","",ROUND($J$2/N20,1)),"")</f>
        <v/>
      </c>
      <c r="P20" s="442" t="str">
        <f>IF(O20&lt;&gt;"",(O20*3600)/1000,"")</f>
        <v/>
      </c>
      <c r="Q20" s="469"/>
      <c r="R20" s="444"/>
      <c r="S20" s="445"/>
      <c r="T20" s="445"/>
      <c r="U20" s="446"/>
      <c r="V20" s="447" t="str">
        <f>IF(COUNT(N19:N20)=2,SUM(N19:N20),"")</f>
        <v/>
      </c>
      <c r="W20" s="448" t="str">
        <f ca="1">IF($V20="","",IF(OR(AND(C20="M",F20="F"),AND(C20="F",F20="M")),VLOOKUP($V20,INDIRECT("rel"),1),VLOOKUP($V20,INDIRECT(C20&amp;"rel"),1)))</f>
        <v/>
      </c>
      <c r="X20" s="448" t="str">
        <f ca="1">IFERROR(IF(OR(AND(C20="M",F20="F"),AND(C20="F",F20="M")),INDEX(INDIRECT("rel"),MATCH($V20,INDIRECT("rel"))+1),INDEX(INDIRECT(C20&amp;"rel"),MATCH($V20,INDIRECT(C20&amp;"rel"))+1)),"")</f>
        <v/>
      </c>
      <c r="Y20" s="448" t="str">
        <f ca="1">IF(X20="",W20,IF(V20=W20,W20,X20))</f>
        <v/>
      </c>
      <c r="Z20" s="449" t="str">
        <f ca="1">IF(Y20="","",IF(OR(AND(C20="M",F20="F"),AND(C20="F",F20="M")),VLOOKUP(Y20,relais,3),IF(C20="F",VLOOKUP(Y20,relaisf,7),VLOOKUP(Y20,relaisg,5))))</f>
        <v/>
      </c>
      <c r="AA20" s="450" t="str">
        <f t="shared" ref="AA20" ca="1" si="30">IFERROR(AVERAGE(Z19,Z20),"")</f>
        <v/>
      </c>
      <c r="AB20" s="472" t="str">
        <f>IFERROR(IF(COUNT($N20)=1,($N20/K20)-1,""),"")</f>
        <v/>
      </c>
      <c r="AC20" s="452" t="str">
        <f>IF($AB20&lt;&gt;"",INDEX(Barème!$AI$3:$AI$28,MATCH($AB20,Barème!$AH$3:$AH$28,-1)),"")</f>
        <v/>
      </c>
      <c r="AD20" s="450" t="str">
        <f t="shared" ref="AD20" si="31">IF(COUNT(AC19:AC20)&gt;1,AVERAGE(AC19,AC20),"")</f>
        <v/>
      </c>
      <c r="AE20" s="453" t="str">
        <f t="shared" si="0"/>
        <v/>
      </c>
      <c r="AF20" s="450" t="str">
        <f t="shared" ref="AF20" si="32">IFERROR(AVERAGE(AE20,AE19),"")</f>
        <v/>
      </c>
      <c r="AG20" s="432" t="str">
        <f>IF(COUNTA(R20:S20)=2,COUNTIF(R20:S20,"OUI"),"")</f>
        <v/>
      </c>
      <c r="AH20" s="433" t="str">
        <f>IF(COUNTA(U20)=1,COUNTIF(U20,"OUI"),"")</f>
        <v/>
      </c>
      <c r="AI20" s="434" t="str">
        <f>IF(COUNTA(S20:T20)=2,COUNTIF(S20:T20,"OUI"),"")</f>
        <v/>
      </c>
      <c r="AJ20" s="450" t="str">
        <f t="shared" ref="AJ20" si="33">IF(COUNT(AG20:AH20,AI19)=3,MROUND(SUM(AG20,AH20,AI19),0.25),"")</f>
        <v/>
      </c>
      <c r="AK20" s="450" t="str">
        <f t="shared" si="29"/>
        <v/>
      </c>
    </row>
    <row r="21" spans="1:37" ht="15.75" thickBot="1">
      <c r="A21" s="330">
        <v>7</v>
      </c>
      <c r="B21" s="394" t="s">
        <v>176</v>
      </c>
      <c r="C21" s="395" t="s">
        <v>134</v>
      </c>
      <c r="D21" s="396"/>
      <c r="E21" s="396" t="s">
        <v>177</v>
      </c>
      <c r="F21" s="396" t="s">
        <v>134</v>
      </c>
      <c r="G21" s="396"/>
      <c r="H21" s="399" t="s">
        <v>187</v>
      </c>
      <c r="I21" s="398">
        <v>41</v>
      </c>
      <c r="J21" s="398">
        <v>25</v>
      </c>
      <c r="K21" s="399" t="s">
        <v>178</v>
      </c>
      <c r="L21" s="400" t="s">
        <v>139</v>
      </c>
      <c r="M21" s="397" t="s">
        <v>140</v>
      </c>
      <c r="N21" s="401" t="s">
        <v>126</v>
      </c>
      <c r="O21" s="400" t="s">
        <v>139</v>
      </c>
      <c r="P21" s="402" t="s">
        <v>140</v>
      </c>
      <c r="Q21" s="403" t="s">
        <v>170</v>
      </c>
      <c r="R21" s="454" t="s">
        <v>180</v>
      </c>
      <c r="S21" s="455" t="s">
        <v>181</v>
      </c>
      <c r="T21" s="455" t="s">
        <v>182</v>
      </c>
      <c r="U21" s="456" t="s">
        <v>183</v>
      </c>
      <c r="V21" s="457"/>
      <c r="W21" s="458"/>
      <c r="X21" s="458"/>
      <c r="Y21" s="458"/>
      <c r="Z21" s="459"/>
      <c r="AA21" s="460"/>
      <c r="AB21" s="470" t="s">
        <v>188</v>
      </c>
      <c r="AC21" s="411"/>
      <c r="AD21" s="462"/>
      <c r="AE21" s="463" t="str">
        <f t="shared" si="0"/>
        <v/>
      </c>
      <c r="AF21" s="460"/>
      <c r="AG21" s="464" t="s">
        <v>180</v>
      </c>
      <c r="AH21" s="464" t="s">
        <v>152</v>
      </c>
      <c r="AI21" s="465" t="s">
        <v>163</v>
      </c>
      <c r="AJ21" s="457"/>
      <c r="AK21" s="462"/>
    </row>
    <row r="22" spans="1:37" ht="24" customHeight="1">
      <c r="A22" s="321" t="s">
        <v>127</v>
      </c>
      <c r="B22" s="466" t="str">
        <f ca="1">IFERROR('Compo.Relais(2)'!$AF10,"")</f>
        <v/>
      </c>
      <c r="C22" s="413" t="str">
        <f ca="1">IF(B22&lt;&gt;"",INDEX(Perf.Sprint!$C$4:$C$41,MATCH(B22,Perf.Sprint!$B$4:$B$41,0)),"")</f>
        <v/>
      </c>
      <c r="D22" s="413" t="s">
        <v>149</v>
      </c>
      <c r="E22" s="413" t="str">
        <f ca="1">IFERROR('Compo.Relais(2)'!$AH10,"")</f>
        <v/>
      </c>
      <c r="F22" s="413" t="str">
        <f ca="1">IF(E22&lt;&gt;"",INDEX(Perf.Sprint!$C$4:$C$41,MATCH(E22,Perf.Sprint!$B$4:$B$41,0)),"")</f>
        <v/>
      </c>
      <c r="G22" s="413" t="str">
        <f ca="1">CONCATENATE(C22,F22)</f>
        <v/>
      </c>
      <c r="H22" s="414"/>
      <c r="I22" s="415" t="str">
        <f ca="1">IF(B22&lt;&gt;0,INDEX(Perf.Sprint!$BJ$4:$BJ$40,MATCH(B22,Perf.Sprint!$B$4:$B$40,0)),"")</f>
        <v/>
      </c>
      <c r="J22" s="415" t="str">
        <f ca="1">IF(E22&lt;&gt;0,INDEX(Perf.Sprint!$BG$4:$BG$40,MATCH(E22,Perf.Sprint!$B$4:$B$40,0)),"")</f>
        <v/>
      </c>
      <c r="K22" s="416" t="str">
        <f ca="1">IFERROR(SUM(I22+J22),"")</f>
        <v/>
      </c>
      <c r="L22" s="413" t="str">
        <f ca="1">IF(K22="","",ROUND($J$2/K22,1))</f>
        <v/>
      </c>
      <c r="M22" s="417" t="str">
        <f ca="1">IF(K22="","",(L22*3600)/1000)</f>
        <v/>
      </c>
      <c r="N22" s="473"/>
      <c r="O22" s="419" t="str">
        <f>IFERROR(IF(N22="","",ROUND($J$2/N22,1)),"")</f>
        <v/>
      </c>
      <c r="P22" s="420" t="str">
        <f>IF(O22&lt;&gt;"",(O22*3600)/1000,"")</f>
        <v/>
      </c>
      <c r="Q22" s="467"/>
      <c r="R22" s="422"/>
      <c r="S22" s="423"/>
      <c r="T22" s="423"/>
      <c r="U22" s="424"/>
      <c r="V22" s="425" t="str">
        <f>IF(COUNT(N22:N23)=2,SUM(N22:N23),"")</f>
        <v/>
      </c>
      <c r="W22" s="426" t="str">
        <f ca="1">IF($V22="","",IF(OR(AND(C22="M",F22="F"),AND(C22="F",F22="M")),VLOOKUP($V22,INDIRECT("rel"),1),VLOOKUP($V22,INDIRECT(C22&amp;"rel"),1)))</f>
        <v/>
      </c>
      <c r="X22" s="426" t="str">
        <f ca="1">IFERROR(IF(OR(AND(C22="M",F22="F"),AND(C22="F",F22="M")),INDEX(INDIRECT("rel"),MATCH($V22,INDIRECT("rel"))+1),INDEX(INDIRECT(C22&amp;"rel"),MATCH($V22,INDIRECT(C22&amp;"rel"))+1)),"")</f>
        <v/>
      </c>
      <c r="Y22" s="426" t="str">
        <f ca="1">IF(X22="",W22,IF(V22=W22,W22,X22))</f>
        <v/>
      </c>
      <c r="Z22" s="427" t="str">
        <f ca="1">IF(Y22="","",IF(OR(AND(C22="M",F22="F"),AND(C22="F",F22="M")),VLOOKUP(Y22,relais,3),IF(C22="F",VLOOKUP(Y22,relaisf,7),VLOOKUP(Y22,relaisg,5))))</f>
        <v/>
      </c>
      <c r="AA22" s="428" t="str">
        <f t="shared" ref="AA22" ca="1" si="34">IFERROR(AVERAGE(Z22,Z23),"")</f>
        <v/>
      </c>
      <c r="AB22" s="471" t="str">
        <f>IFERROR(IF(COUNT($N22)=1,($N22/K22)-1,""),"")</f>
        <v/>
      </c>
      <c r="AC22" s="430" t="str">
        <f>IF($AB22&lt;&gt;"",INDEX(Barème!$AI$3:$AI$28,MATCH($AB22,Barème!$AH$3:$AH$28,-1)),"")</f>
        <v/>
      </c>
      <c r="AD22" s="428" t="str">
        <f t="shared" ref="AD22" si="35">IF(COUNT(AC22:AC23)&gt;1,AVERAGE(AC22,AC23),"")</f>
        <v/>
      </c>
      <c r="AE22" s="431" t="str">
        <f t="shared" si="0"/>
        <v/>
      </c>
      <c r="AF22" s="428" t="str">
        <f t="shared" ref="AF22" si="36">IFERROR(AVERAGE(AE22:AE23),"")</f>
        <v/>
      </c>
      <c r="AG22" s="432" t="str">
        <f>IF(COUNTA(R22:S22)=2,COUNTIF(R22:S22,"OUI"),"")</f>
        <v/>
      </c>
      <c r="AH22" s="433" t="str">
        <f>IF(COUNTA(U22)=1,COUNTIF(U22,"OUI"),"")</f>
        <v/>
      </c>
      <c r="AI22" s="434" t="str">
        <f>IF(COUNTA(S22:T22)=2,COUNTIF(S22:T22,"OUI"),"")</f>
        <v/>
      </c>
      <c r="AJ22" s="428" t="str">
        <f>IF(COUNT(AG22:AH22,AI23)=3,MROUND(SUM(AG22,AH22,AI23),0.25),"")</f>
        <v/>
      </c>
      <c r="AK22" s="428" t="str">
        <f t="shared" ref="AK22:AK23" si="37">IFERROR((AF22/4)*3+(AJ22/5)*3,"")</f>
        <v/>
      </c>
    </row>
    <row r="23" spans="1:37" ht="24" customHeight="1" thickBot="1">
      <c r="A23" s="321" t="s">
        <v>128</v>
      </c>
      <c r="B23" s="468" t="str">
        <f ca="1">E22</f>
        <v/>
      </c>
      <c r="C23" s="436" t="str">
        <f ca="1">IF(B23&lt;&gt;"",INDEX(Perf.Sprint!$C$4:$C$41,MATCH(B23,Perf.Sprint!$B$4:$B$41,0)),"")</f>
        <v/>
      </c>
      <c r="D23" s="436" t="s">
        <v>149</v>
      </c>
      <c r="E23" s="436" t="str">
        <f ca="1">B22</f>
        <v/>
      </c>
      <c r="F23" s="436" t="str">
        <f ca="1">IF(E23&lt;&gt;"",INDEX(Perf.Sprint!$C$4:$C$41,MATCH(E23,Perf.Sprint!$B$4:$B$41,0)),"")</f>
        <v/>
      </c>
      <c r="G23" s="436" t="str">
        <f ca="1">CONCATENATE(F23,C23)</f>
        <v/>
      </c>
      <c r="H23" s="437"/>
      <c r="I23" s="438" t="str">
        <f ca="1">IF(B23&lt;&gt;0,INDEX(Perf.Sprint!$BJ$4:$BJ$40,MATCH(B23,Perf.Sprint!$B$4:$B$40,0)),"")</f>
        <v/>
      </c>
      <c r="J23" s="438" t="str">
        <f ca="1">IF(E23&lt;&gt;0,INDEX(Perf.Sprint!$BG$4:$BG$40,MATCH(E23,Perf.Sprint!$B$4:$B$40,0)),"")</f>
        <v/>
      </c>
      <c r="K23" s="438" t="str">
        <f ca="1">IFERROR(SUM(I23+J23),"")</f>
        <v/>
      </c>
      <c r="L23" s="436" t="str">
        <f ca="1">IF(K23="","",ROUND($J$2/K23,1))</f>
        <v/>
      </c>
      <c r="M23" s="439" t="str">
        <f ca="1">IF(K23="","",(L23*3600)/1000)</f>
        <v/>
      </c>
      <c r="N23" s="474"/>
      <c r="O23" s="441" t="str">
        <f>IFERROR(IF(N23="","",ROUND($J$2/N23,1)),"")</f>
        <v/>
      </c>
      <c r="P23" s="442" t="str">
        <f>IF(O23&lt;&gt;"",(O23*3600)/1000,"")</f>
        <v/>
      </c>
      <c r="Q23" s="469"/>
      <c r="R23" s="444"/>
      <c r="S23" s="445"/>
      <c r="T23" s="445"/>
      <c r="U23" s="446"/>
      <c r="V23" s="447" t="str">
        <f>IF(COUNT(N22:N23)=2,SUM(N22:N23),"")</f>
        <v/>
      </c>
      <c r="W23" s="448" t="str">
        <f ca="1">IF($V23="","",IF(OR(AND(C23="M",F23="F"),AND(C23="F",F23="M")),VLOOKUP($V23,INDIRECT("rel"),1),VLOOKUP($V23,INDIRECT(C23&amp;"rel"),1)))</f>
        <v/>
      </c>
      <c r="X23" s="448" t="str">
        <f ca="1">IFERROR(IF(OR(AND(C23="M",F23="F"),AND(C23="F",F23="M")),INDEX(INDIRECT("rel"),MATCH($V23,INDIRECT("rel"))+1),INDEX(INDIRECT(C23&amp;"rel"),MATCH($V23,INDIRECT(C23&amp;"rel"))+1)),"")</f>
        <v/>
      </c>
      <c r="Y23" s="448" t="str">
        <f ca="1">IF(X23="",W23,IF(V23=W23,W23,X23))</f>
        <v/>
      </c>
      <c r="Z23" s="449" t="str">
        <f ca="1">IF(Y23="","",IF(OR(AND(C23="M",F23="F"),AND(C23="F",F23="M")),VLOOKUP(Y23,relais,3),IF(C23="F",VLOOKUP(Y23,relaisf,7),VLOOKUP(Y23,relaisg,5))))</f>
        <v/>
      </c>
      <c r="AA23" s="450" t="str">
        <f t="shared" ref="AA23" ca="1" si="38">IFERROR(AVERAGE(Z22,Z23),"")</f>
        <v/>
      </c>
      <c r="AB23" s="472" t="str">
        <f>IFERROR(IF(COUNT($N23)=1,($N23/K23)-1,""),"")</f>
        <v/>
      </c>
      <c r="AC23" s="452" t="str">
        <f>IF($AB23&lt;&gt;"",INDEX(Barème!$AI$3:$AI$28,MATCH($AB23,Barème!$AH$3:$AH$28,-1)),"")</f>
        <v/>
      </c>
      <c r="AD23" s="450" t="str">
        <f t="shared" ref="AD23" si="39">IF(COUNT(AC22:AC23)&gt;1,AVERAGE(AC22,AC23),"")</f>
        <v/>
      </c>
      <c r="AE23" s="453" t="str">
        <f t="shared" si="0"/>
        <v/>
      </c>
      <c r="AF23" s="450" t="str">
        <f t="shared" ref="AF23" si="40">IFERROR(AVERAGE(AE23,AE22),"")</f>
        <v/>
      </c>
      <c r="AG23" s="432" t="str">
        <f>IF(COUNTA(R23:S23)=2,COUNTIF(R23:S23,"OUI"),"")</f>
        <v/>
      </c>
      <c r="AH23" s="433" t="str">
        <f>IF(COUNTA(U23)=1,COUNTIF(U23,"OUI"),"")</f>
        <v/>
      </c>
      <c r="AI23" s="434" t="str">
        <f>IF(COUNTA(S23:T23)=2,COUNTIF(S23:T23,"OUI"),"")</f>
        <v/>
      </c>
      <c r="AJ23" s="450" t="str">
        <f t="shared" ref="AJ23" si="41">IF(COUNT(AG23:AH23,AI22)=3,MROUND(SUM(AG23,AH23,AI22),0.25),"")</f>
        <v/>
      </c>
      <c r="AK23" s="450" t="str">
        <f t="shared" si="37"/>
        <v/>
      </c>
    </row>
    <row r="24" spans="1:37" ht="15.75" thickBot="1">
      <c r="A24" s="330">
        <v>8</v>
      </c>
      <c r="B24" s="394" t="s">
        <v>176</v>
      </c>
      <c r="C24" s="395" t="s">
        <v>134</v>
      </c>
      <c r="D24" s="396"/>
      <c r="E24" s="396" t="s">
        <v>177</v>
      </c>
      <c r="F24" s="396" t="s">
        <v>134</v>
      </c>
      <c r="G24" s="396"/>
      <c r="H24" s="399" t="s">
        <v>187</v>
      </c>
      <c r="I24" s="398">
        <v>42</v>
      </c>
      <c r="J24" s="398">
        <v>25</v>
      </c>
      <c r="K24" s="399" t="s">
        <v>178</v>
      </c>
      <c r="L24" s="400" t="s">
        <v>139</v>
      </c>
      <c r="M24" s="397" t="s">
        <v>140</v>
      </c>
      <c r="N24" s="401" t="s">
        <v>126</v>
      </c>
      <c r="O24" s="400" t="s">
        <v>139</v>
      </c>
      <c r="P24" s="402" t="s">
        <v>140</v>
      </c>
      <c r="Q24" s="403" t="s">
        <v>170</v>
      </c>
      <c r="R24" s="454" t="s">
        <v>180</v>
      </c>
      <c r="S24" s="455" t="s">
        <v>181</v>
      </c>
      <c r="T24" s="455" t="s">
        <v>182</v>
      </c>
      <c r="U24" s="456" t="s">
        <v>183</v>
      </c>
      <c r="V24" s="457"/>
      <c r="W24" s="458"/>
      <c r="X24" s="458"/>
      <c r="Y24" s="458"/>
      <c r="Z24" s="459"/>
      <c r="AA24" s="460"/>
      <c r="AB24" s="470" t="s">
        <v>188</v>
      </c>
      <c r="AC24" s="411"/>
      <c r="AD24" s="462"/>
      <c r="AE24" s="463" t="str">
        <f t="shared" si="0"/>
        <v/>
      </c>
      <c r="AF24" s="460"/>
      <c r="AG24" s="464" t="s">
        <v>180</v>
      </c>
      <c r="AH24" s="464" t="s">
        <v>152</v>
      </c>
      <c r="AI24" s="465" t="s">
        <v>163</v>
      </c>
      <c r="AJ24" s="457"/>
      <c r="AK24" s="462"/>
    </row>
    <row r="25" spans="1:37" ht="24" customHeight="1">
      <c r="A25" s="321" t="s">
        <v>127</v>
      </c>
      <c r="B25" s="466" t="str">
        <f ca="1">IFERROR('Compo.Relais(2)'!$AF11,"")</f>
        <v/>
      </c>
      <c r="C25" s="413" t="str">
        <f ca="1">IF(B25&lt;&gt;"",INDEX(Perf.Sprint!$C$4:$C$41,MATCH(B25,Perf.Sprint!$B$4:$B$41,0)),"")</f>
        <v/>
      </c>
      <c r="D25" s="413" t="s">
        <v>149</v>
      </c>
      <c r="E25" s="413" t="str">
        <f ca="1">IFERROR('Compo.Relais(2)'!$AH11,"")</f>
        <v/>
      </c>
      <c r="F25" s="413" t="str">
        <f ca="1">IF(E25&lt;&gt;"",INDEX(Perf.Sprint!$C$4:$C$41,MATCH(E25,Perf.Sprint!$B$4:$B$41,0)),"")</f>
        <v/>
      </c>
      <c r="G25" s="413" t="str">
        <f ca="1">CONCATENATE(C25,F25)</f>
        <v/>
      </c>
      <c r="H25" s="414"/>
      <c r="I25" s="415" t="str">
        <f ca="1">IF(B25&lt;&gt;0,INDEX(Perf.Sprint!$BJ$4:$BJ$40,MATCH(B25,Perf.Sprint!$B$4:$B$40,0)),"")</f>
        <v/>
      </c>
      <c r="J25" s="415" t="str">
        <f ca="1">IF(E25&lt;&gt;0,INDEX(Perf.Sprint!$BG$4:$BG$40,MATCH(E25,Perf.Sprint!$B$4:$B$40,0)),"")</f>
        <v/>
      </c>
      <c r="K25" s="416" t="str">
        <f ca="1">IFERROR(SUM(I25+J25),"")</f>
        <v/>
      </c>
      <c r="L25" s="413" t="str">
        <f ca="1">IF(K25="","",ROUND($J$2/K25,1))</f>
        <v/>
      </c>
      <c r="M25" s="417" t="str">
        <f ca="1">IF(K25="","",(L25*3600)/1000)</f>
        <v/>
      </c>
      <c r="N25" s="473"/>
      <c r="O25" s="419" t="str">
        <f>IFERROR(IF(N25="","",ROUND($J$2/N25,1)),"")</f>
        <v/>
      </c>
      <c r="P25" s="420" t="str">
        <f>IF(O25&lt;&gt;"",(O25*3600)/1000,"")</f>
        <v/>
      </c>
      <c r="Q25" s="467"/>
      <c r="R25" s="422"/>
      <c r="S25" s="423"/>
      <c r="T25" s="423"/>
      <c r="U25" s="424"/>
      <c r="V25" s="425" t="str">
        <f>IF(COUNT(N25:N26)=2,SUM(N25:N26),"")</f>
        <v/>
      </c>
      <c r="W25" s="426" t="str">
        <f ca="1">IF($V25="","",IF(OR(AND(C25="M",F25="F"),AND(C25="F",F25="M")),VLOOKUP($V25,INDIRECT("rel"),1),VLOOKUP($V25,INDIRECT(C25&amp;"rel"),1)))</f>
        <v/>
      </c>
      <c r="X25" s="426" t="str">
        <f ca="1">IFERROR(IF(OR(AND(C25="M",F25="F"),AND(C25="F",F25="M")),INDEX(INDIRECT("rel"),MATCH($V25,INDIRECT("rel"))+1),INDEX(INDIRECT(C25&amp;"rel"),MATCH($V25,INDIRECT(C25&amp;"rel"))+1)),"")</f>
        <v/>
      </c>
      <c r="Y25" s="426" t="str">
        <f ca="1">IF(X25="",W25,IF(V25=W25,W25,X25))</f>
        <v/>
      </c>
      <c r="Z25" s="427" t="str">
        <f ca="1">IF(Y25="","",IF(OR(AND(C25="M",F25="F"),AND(C25="F",F25="M")),VLOOKUP(Y25,relais,3),IF(C25="F",VLOOKUP(Y25,relaisf,7),VLOOKUP(Y25,relaisg,5))))</f>
        <v/>
      </c>
      <c r="AA25" s="428" t="str">
        <f t="shared" ref="AA25" ca="1" si="42">IFERROR(AVERAGE(Z25,Z26),"")</f>
        <v/>
      </c>
      <c r="AB25" s="471" t="str">
        <f>IFERROR(IF(COUNT($N25)=1,($N25/K25)-1,""),"")</f>
        <v/>
      </c>
      <c r="AC25" s="430" t="str">
        <f>IF($AB25&lt;&gt;"",INDEX(Barème!$AI$3:$AI$28,MATCH($AB25,Barème!$AH$3:$AH$28,-1)),"")</f>
        <v/>
      </c>
      <c r="AD25" s="428" t="str">
        <f t="shared" ref="AD25" si="43">IF(COUNT(AC25:AC26)&gt;1,AVERAGE(AC25,AC26),"")</f>
        <v/>
      </c>
      <c r="AE25" s="431" t="str">
        <f t="shared" si="0"/>
        <v/>
      </c>
      <c r="AF25" s="428" t="str">
        <f t="shared" ref="AF25" si="44">IFERROR(AVERAGE(AE25:AE26),"")</f>
        <v/>
      </c>
      <c r="AG25" s="432" t="str">
        <f>IF(COUNTA(R25:S25)=2,COUNTIF(R25:S25,"OUI"),"")</f>
        <v/>
      </c>
      <c r="AH25" s="433" t="str">
        <f>IF(COUNTA(U25)=1,COUNTIF(U25,"OUI"),"")</f>
        <v/>
      </c>
      <c r="AI25" s="434" t="str">
        <f>IF(COUNTA(S25:T25)=2,COUNTIF(S25:T25,"OUI"),"")</f>
        <v/>
      </c>
      <c r="AJ25" s="428" t="str">
        <f>IF(COUNT(AG25:AH25,AI26)=3,MROUND(SUM(AG25,AH25,AI26),0.25),"")</f>
        <v/>
      </c>
      <c r="AK25" s="428" t="str">
        <f t="shared" ref="AK25:AK26" si="45">IFERROR((AF25/4)*3+(AJ25/5)*3,"")</f>
        <v/>
      </c>
    </row>
    <row r="26" spans="1:37" ht="24" customHeight="1" thickBot="1">
      <c r="A26" s="321" t="s">
        <v>128</v>
      </c>
      <c r="B26" s="468" t="str">
        <f ca="1">E25</f>
        <v/>
      </c>
      <c r="C26" s="436" t="str">
        <f ca="1">IF(B26&lt;&gt;"",INDEX(Perf.Sprint!$C$4:$C$41,MATCH(B26,Perf.Sprint!$B$4:$B$41,0)),"")</f>
        <v/>
      </c>
      <c r="D26" s="436" t="s">
        <v>149</v>
      </c>
      <c r="E26" s="436" t="str">
        <f ca="1">B25</f>
        <v/>
      </c>
      <c r="F26" s="436" t="str">
        <f ca="1">IF(E26&lt;&gt;"",INDEX(Perf.Sprint!$C$4:$C$41,MATCH(E26,Perf.Sprint!$B$4:$B$41,0)),"")</f>
        <v/>
      </c>
      <c r="G26" s="436" t="str">
        <f ca="1">CONCATENATE(F26,C26)</f>
        <v/>
      </c>
      <c r="H26" s="437"/>
      <c r="I26" s="438" t="str">
        <f ca="1">IF(B26&lt;&gt;0,INDEX(Perf.Sprint!$BJ$4:$BJ$40,MATCH(B26,Perf.Sprint!$B$4:$B$40,0)),"")</f>
        <v/>
      </c>
      <c r="J26" s="438" t="str">
        <f ca="1">IF(E26&lt;&gt;0,INDEX(Perf.Sprint!$BG$4:$BG$40,MATCH(E26,Perf.Sprint!$B$4:$B$40,0)),"")</f>
        <v/>
      </c>
      <c r="K26" s="438" t="str">
        <f ca="1">IFERROR(SUM(I26+J26),"")</f>
        <v/>
      </c>
      <c r="L26" s="436" t="str">
        <f ca="1">IF(K26="","",ROUND($J$2/K26,1))</f>
        <v/>
      </c>
      <c r="M26" s="439" t="str">
        <f ca="1">IF(K26="","",(L26*3600)/1000)</f>
        <v/>
      </c>
      <c r="N26" s="474"/>
      <c r="O26" s="441" t="str">
        <f>IFERROR(IF(N26="","",ROUND($J$2/N26,1)),"")</f>
        <v/>
      </c>
      <c r="P26" s="442" t="str">
        <f>IF(O26&lt;&gt;"",(O26*3600)/1000,"")</f>
        <v/>
      </c>
      <c r="Q26" s="469"/>
      <c r="R26" s="444"/>
      <c r="S26" s="445"/>
      <c r="T26" s="445"/>
      <c r="U26" s="446"/>
      <c r="V26" s="447" t="str">
        <f>IF(COUNT(N25:N26)=2,SUM(N25:N26),"")</f>
        <v/>
      </c>
      <c r="W26" s="448" t="str">
        <f ca="1">IF($V26="","",IF(OR(AND(C26="M",F26="F"),AND(C26="F",F26="M")),VLOOKUP($V26,INDIRECT("rel"),1),VLOOKUP($V26,INDIRECT(C26&amp;"rel"),1)))</f>
        <v/>
      </c>
      <c r="X26" s="448" t="str">
        <f ca="1">IFERROR(IF(OR(AND(C26="M",F26="F"),AND(C26="F",F26="M")),INDEX(INDIRECT("rel"),MATCH($V26,INDIRECT("rel"))+1),INDEX(INDIRECT(C26&amp;"rel"),MATCH($V26,INDIRECT(C26&amp;"rel"))+1)),"")</f>
        <v/>
      </c>
      <c r="Y26" s="448" t="str">
        <f ca="1">IF(X26="",W26,IF(V26=W26,W26,X26))</f>
        <v/>
      </c>
      <c r="Z26" s="449" t="str">
        <f ca="1">IF(Y26="","",IF(OR(AND(C26="M",F26="F"),AND(C26="F",F26="M")),VLOOKUP(Y26,relais,3),IF(C26="F",VLOOKUP(Y26,relaisf,7),VLOOKUP(Y26,relaisg,5))))</f>
        <v/>
      </c>
      <c r="AA26" s="450" t="str">
        <f t="shared" ref="AA26" ca="1" si="46">IFERROR(AVERAGE(Z25,Z26),"")</f>
        <v/>
      </c>
      <c r="AB26" s="472" t="str">
        <f>IFERROR(IF(COUNT($N26)=1,($N26/K26)-1,""),"")</f>
        <v/>
      </c>
      <c r="AC26" s="452" t="str">
        <f>IF($AB26&lt;&gt;"",INDEX(Barème!$AI$3:$AI$28,MATCH($AB26,Barème!$AH$3:$AH$28,-1)),"")</f>
        <v/>
      </c>
      <c r="AD26" s="450" t="str">
        <f t="shared" ref="AD26" si="47">IF(COUNT(AC25:AC26)&gt;1,AVERAGE(AC25,AC26),"")</f>
        <v/>
      </c>
      <c r="AE26" s="453" t="str">
        <f t="shared" si="0"/>
        <v/>
      </c>
      <c r="AF26" s="450" t="str">
        <f t="shared" ref="AF26" si="48">IFERROR(AVERAGE(AE26,AE25),"")</f>
        <v/>
      </c>
      <c r="AG26" s="432" t="str">
        <f>IF(COUNTA(R26:S26)=2,COUNTIF(R26:S26,"OUI"),"")</f>
        <v/>
      </c>
      <c r="AH26" s="433" t="str">
        <f>IF(COUNTA(U26)=1,COUNTIF(U26,"OUI"),"")</f>
        <v/>
      </c>
      <c r="AI26" s="434" t="str">
        <f>IF(COUNTA(S26:T26)=2,COUNTIF(S26:T26,"OUI"),"")</f>
        <v/>
      </c>
      <c r="AJ26" s="450" t="str">
        <f t="shared" ref="AJ26" si="49">IF(COUNT(AG26:AH26,AI25)=3,MROUND(SUM(AG26,AH26,AI25),0.25),"")</f>
        <v/>
      </c>
      <c r="AK26" s="450" t="str">
        <f t="shared" si="45"/>
        <v/>
      </c>
    </row>
    <row r="27" spans="1:37" ht="15.75" thickBot="1">
      <c r="A27" s="330">
        <v>9</v>
      </c>
      <c r="B27" s="394" t="s">
        <v>176</v>
      </c>
      <c r="C27" s="395" t="s">
        <v>134</v>
      </c>
      <c r="D27" s="396"/>
      <c r="E27" s="396" t="s">
        <v>177</v>
      </c>
      <c r="F27" s="396" t="s">
        <v>134</v>
      </c>
      <c r="G27" s="396"/>
      <c r="H27" s="399" t="s">
        <v>187</v>
      </c>
      <c r="I27" s="398">
        <v>43</v>
      </c>
      <c r="J27" s="398">
        <v>25</v>
      </c>
      <c r="K27" s="399" t="s">
        <v>178</v>
      </c>
      <c r="L27" s="400" t="s">
        <v>139</v>
      </c>
      <c r="M27" s="397" t="s">
        <v>140</v>
      </c>
      <c r="N27" s="401" t="s">
        <v>126</v>
      </c>
      <c r="O27" s="400" t="s">
        <v>139</v>
      </c>
      <c r="P27" s="402" t="s">
        <v>140</v>
      </c>
      <c r="Q27" s="403" t="s">
        <v>170</v>
      </c>
      <c r="R27" s="454" t="s">
        <v>180</v>
      </c>
      <c r="S27" s="455" t="s">
        <v>181</v>
      </c>
      <c r="T27" s="455" t="s">
        <v>182</v>
      </c>
      <c r="U27" s="456" t="s">
        <v>183</v>
      </c>
      <c r="V27" s="457"/>
      <c r="W27" s="458"/>
      <c r="X27" s="458"/>
      <c r="Y27" s="458"/>
      <c r="Z27" s="459"/>
      <c r="AA27" s="460"/>
      <c r="AB27" s="470" t="s">
        <v>188</v>
      </c>
      <c r="AC27" s="411"/>
      <c r="AD27" s="462"/>
      <c r="AE27" s="463" t="str">
        <f t="shared" si="0"/>
        <v/>
      </c>
      <c r="AF27" s="460"/>
      <c r="AG27" s="464" t="s">
        <v>180</v>
      </c>
      <c r="AH27" s="464" t="s">
        <v>152</v>
      </c>
      <c r="AI27" s="465" t="s">
        <v>163</v>
      </c>
      <c r="AJ27" s="457"/>
      <c r="AK27" s="462"/>
    </row>
    <row r="28" spans="1:37" ht="24" customHeight="1">
      <c r="A28" s="321" t="s">
        <v>127</v>
      </c>
      <c r="B28" s="466" t="str">
        <f ca="1">IFERROR('Compo.Relais(2)'!$AF12,"")</f>
        <v/>
      </c>
      <c r="C28" s="413" t="str">
        <f ca="1">IF(B28&lt;&gt;"",INDEX(Perf.Sprint!$C$4:$C$41,MATCH(B28,Perf.Sprint!$B$4:$B$41,0)),"")</f>
        <v/>
      </c>
      <c r="D28" s="413" t="s">
        <v>149</v>
      </c>
      <c r="E28" s="413" t="str">
        <f ca="1">IFERROR('Compo.Relais(2)'!$AH12,"")</f>
        <v/>
      </c>
      <c r="F28" s="413" t="str">
        <f ca="1">IF(E28&lt;&gt;"",INDEX(Perf.Sprint!$C$4:$C$41,MATCH(E28,Perf.Sprint!$B$4:$B$41,0)),"")</f>
        <v/>
      </c>
      <c r="G28" s="413" t="str">
        <f ca="1">CONCATENATE(C28,F28)</f>
        <v/>
      </c>
      <c r="H28" s="414"/>
      <c r="I28" s="415" t="str">
        <f ca="1">IF(B28&lt;&gt;0,INDEX(Perf.Sprint!$BJ$4:$BJ$40,MATCH(B28,Perf.Sprint!$B$4:$B$40,0)),"")</f>
        <v/>
      </c>
      <c r="J28" s="415" t="str">
        <f ca="1">IF(E28&lt;&gt;0,INDEX(Perf.Sprint!$BG$4:$BG$40,MATCH(E28,Perf.Sprint!$B$4:$B$40,0)),"")</f>
        <v/>
      </c>
      <c r="K28" s="416" t="str">
        <f ca="1">IFERROR(SUM(I28+J28),"")</f>
        <v/>
      </c>
      <c r="L28" s="413" t="str">
        <f ca="1">IF(K28="","",ROUND($J$2/K28,1))</f>
        <v/>
      </c>
      <c r="M28" s="417" t="str">
        <f ca="1">IF(K28="","",(L28*3600)/1000)</f>
        <v/>
      </c>
      <c r="N28" s="473"/>
      <c r="O28" s="419" t="str">
        <f>IFERROR(IF(N28="","",ROUND($J$2/N28,1)),"")</f>
        <v/>
      </c>
      <c r="P28" s="420" t="str">
        <f>IF(O28&lt;&gt;"",(O28*3600)/1000,"")</f>
        <v/>
      </c>
      <c r="Q28" s="467"/>
      <c r="R28" s="422"/>
      <c r="S28" s="423"/>
      <c r="T28" s="423"/>
      <c r="U28" s="424"/>
      <c r="V28" s="425" t="str">
        <f>IF(COUNT(N28:N29)=2,SUM(N28:N29),"")</f>
        <v/>
      </c>
      <c r="W28" s="426" t="str">
        <f ca="1">IF($V28="","",IF(OR(AND(C28="M",F28="F"),AND(C28="F",F28="M")),VLOOKUP($V28,INDIRECT("rel"),1),VLOOKUP($V28,INDIRECT(C28&amp;"rel"),1)))</f>
        <v/>
      </c>
      <c r="X28" s="426" t="str">
        <f ca="1">IFERROR(IF(OR(AND(C28="M",F28="F"),AND(C28="F",F28="M")),INDEX(INDIRECT("rel"),MATCH($V28,INDIRECT("rel"))+1),INDEX(INDIRECT(C28&amp;"rel"),MATCH($V28,INDIRECT(C28&amp;"rel"))+1)),"")</f>
        <v/>
      </c>
      <c r="Y28" s="426" t="str">
        <f ca="1">IF(X28="",W28,IF(V28=W28,W28,X28))</f>
        <v/>
      </c>
      <c r="Z28" s="427" t="str">
        <f ca="1">IF(Y28="","",IF(OR(AND(C28="M",F28="F"),AND(C28="F",F28="M")),VLOOKUP(Y28,relais,3),IF(C28="F",VLOOKUP(Y28,relaisf,7),VLOOKUP(Y28,relaisg,5))))</f>
        <v/>
      </c>
      <c r="AA28" s="428" t="str">
        <f t="shared" ref="AA28" ca="1" si="50">IFERROR(AVERAGE(Z28,Z29),"")</f>
        <v/>
      </c>
      <c r="AB28" s="471" t="str">
        <f>IFERROR(IF(COUNT($N28)=1,($N28/K28)-1,""),"")</f>
        <v/>
      </c>
      <c r="AC28" s="430" t="str">
        <f>IF($AB28&lt;&gt;"",INDEX(Barème!$AI$3:$AI$28,MATCH($AB28,Barème!$AH$3:$AH$28,-1)),"")</f>
        <v/>
      </c>
      <c r="AD28" s="428" t="str">
        <f t="shared" ref="AD28" si="51">IF(COUNT(AC28:AC29)&gt;1,AVERAGE(AC28,AC29),"")</f>
        <v/>
      </c>
      <c r="AE28" s="431" t="str">
        <f t="shared" si="0"/>
        <v/>
      </c>
      <c r="AF28" s="428" t="str">
        <f t="shared" ref="AF28" si="52">IFERROR(AVERAGE(AE28:AE29),"")</f>
        <v/>
      </c>
      <c r="AG28" s="432" t="str">
        <f>IF(COUNTA(R28:S28)=2,COUNTIF(R28:S28,"OUI"),"")</f>
        <v/>
      </c>
      <c r="AH28" s="433" t="str">
        <f>IF(COUNTA(U28)=1,COUNTIF(U28,"OUI"),"")</f>
        <v/>
      </c>
      <c r="AI28" s="434" t="str">
        <f>IF(COUNTA(S28:T28)=2,COUNTIF(S28:T28,"OUI"),"")</f>
        <v/>
      </c>
      <c r="AJ28" s="428" t="str">
        <f>IF(COUNT(AG28:AH28,AI29)=3,MROUND(SUM(AG28,AH28,AI29),0.25),"")</f>
        <v/>
      </c>
      <c r="AK28" s="428" t="str">
        <f t="shared" ref="AK28:AK29" si="53">IFERROR((AF28/4)*3+(AJ28/5)*3,"")</f>
        <v/>
      </c>
    </row>
    <row r="29" spans="1:37" ht="24" customHeight="1" thickBot="1">
      <c r="A29" s="321" t="s">
        <v>128</v>
      </c>
      <c r="B29" s="468" t="str">
        <f ca="1">E28</f>
        <v/>
      </c>
      <c r="C29" s="436" t="str">
        <f ca="1">IF(B29&lt;&gt;"",INDEX(Perf.Sprint!$C$4:$C$41,MATCH(B29,Perf.Sprint!$B$4:$B$41,0)),"")</f>
        <v/>
      </c>
      <c r="D29" s="436" t="s">
        <v>149</v>
      </c>
      <c r="E29" s="436" t="str">
        <f ca="1">B28</f>
        <v/>
      </c>
      <c r="F29" s="436" t="str">
        <f ca="1">IF(E29&lt;&gt;"",INDEX(Perf.Sprint!$C$4:$C$41,MATCH(E29,Perf.Sprint!$B$4:$B$41,0)),"")</f>
        <v/>
      </c>
      <c r="G29" s="436" t="str">
        <f ca="1">CONCATENATE(F29,C29)</f>
        <v/>
      </c>
      <c r="H29" s="437"/>
      <c r="I29" s="438" t="str">
        <f ca="1">IF(B29&lt;&gt;0,INDEX(Perf.Sprint!$BJ$4:$BJ$40,MATCH(B29,Perf.Sprint!$B$4:$B$40,0)),"")</f>
        <v/>
      </c>
      <c r="J29" s="438" t="str">
        <f ca="1">IF(E29&lt;&gt;0,INDEX(Perf.Sprint!$BG$4:$BG$40,MATCH(E29,Perf.Sprint!$B$4:$B$40,0)),"")</f>
        <v/>
      </c>
      <c r="K29" s="438" t="str">
        <f ca="1">IFERROR(SUM(I29+J29),"")</f>
        <v/>
      </c>
      <c r="L29" s="436" t="str">
        <f ca="1">IF(K29="","",ROUND($J$2/K29,1))</f>
        <v/>
      </c>
      <c r="M29" s="439" t="str">
        <f ca="1">IF(K29="","",(L29*3600)/1000)</f>
        <v/>
      </c>
      <c r="N29" s="474"/>
      <c r="O29" s="441" t="str">
        <f>IFERROR(IF(N29="","",ROUND($J$2/N29,1)),"")</f>
        <v/>
      </c>
      <c r="P29" s="442" t="str">
        <f>IF(O29&lt;&gt;"",(O29*3600)/1000,"")</f>
        <v/>
      </c>
      <c r="Q29" s="469"/>
      <c r="R29" s="444"/>
      <c r="S29" s="445"/>
      <c r="T29" s="445"/>
      <c r="U29" s="446"/>
      <c r="V29" s="447" t="str">
        <f>IF(COUNT(N28:N29)=2,SUM(N28:N29),"")</f>
        <v/>
      </c>
      <c r="W29" s="448" t="str">
        <f ca="1">IF($V29="","",IF(OR(AND(C29="M",F29="F"),AND(C29="F",F29="M")),VLOOKUP($V29,INDIRECT("rel"),1),VLOOKUP($V29,INDIRECT(C29&amp;"rel"),1)))</f>
        <v/>
      </c>
      <c r="X29" s="448" t="str">
        <f ca="1">IFERROR(IF(OR(AND(C29="M",F29="F"),AND(C29="F",F29="M")),INDEX(INDIRECT("rel"),MATCH($V29,INDIRECT("rel"))+1),INDEX(INDIRECT(C29&amp;"rel"),MATCH($V29,INDIRECT(C29&amp;"rel"))+1)),"")</f>
        <v/>
      </c>
      <c r="Y29" s="448" t="str">
        <f ca="1">IF(X29="",W29,IF(V29=W29,W29,X29))</f>
        <v/>
      </c>
      <c r="Z29" s="449" t="str">
        <f ca="1">IF(Y29="","",IF(OR(AND(C29="M",F29="F"),AND(C29="F",F29="M")),VLOOKUP(Y29,relais,3),IF(C29="F",VLOOKUP(Y29,relaisf,7),VLOOKUP(Y29,relaisg,5))))</f>
        <v/>
      </c>
      <c r="AA29" s="450" t="str">
        <f t="shared" ref="AA29" ca="1" si="54">IFERROR(AVERAGE(Z28,Z29),"")</f>
        <v/>
      </c>
      <c r="AB29" s="472" t="str">
        <f>IFERROR(IF(COUNT($N29)=1,($N29/K29)-1,""),"")</f>
        <v/>
      </c>
      <c r="AC29" s="452" t="str">
        <f>IF($AB29&lt;&gt;"",INDEX(Barème!$AI$3:$AI$28,MATCH($AB29,Barème!$AH$3:$AH$28,-1)),"")</f>
        <v/>
      </c>
      <c r="AD29" s="450" t="str">
        <f t="shared" ref="AD29" si="55">IF(COUNT(AC28:AC29)&gt;1,AVERAGE(AC28,AC29),"")</f>
        <v/>
      </c>
      <c r="AE29" s="453" t="str">
        <f t="shared" si="0"/>
        <v/>
      </c>
      <c r="AF29" s="450" t="str">
        <f t="shared" ref="AF29" si="56">IFERROR(AVERAGE(AE29,AE28),"")</f>
        <v/>
      </c>
      <c r="AG29" s="432" t="str">
        <f>IF(COUNTA(R29:S29)=2,COUNTIF(R29:S29,"OUI"),"")</f>
        <v/>
      </c>
      <c r="AH29" s="433" t="str">
        <f>IF(COUNTA(U29)=1,COUNTIF(U29,"OUI"),"")</f>
        <v/>
      </c>
      <c r="AI29" s="434" t="str">
        <f>IF(COUNTA(S29:T29)=2,COUNTIF(S29:T29,"OUI"),"")</f>
        <v/>
      </c>
      <c r="AJ29" s="450" t="str">
        <f t="shared" ref="AJ29" si="57">IF(COUNT(AG29:AH29,AI28)=3,MROUND(SUM(AG29,AH29,AI28),0.25),"")</f>
        <v/>
      </c>
      <c r="AK29" s="450" t="str">
        <f t="shared" si="53"/>
        <v/>
      </c>
    </row>
    <row r="30" spans="1:37" ht="14.25" customHeight="1" thickBot="1">
      <c r="A30" s="330">
        <v>10</v>
      </c>
      <c r="B30" s="394" t="s">
        <v>176</v>
      </c>
      <c r="C30" s="395" t="s">
        <v>134</v>
      </c>
      <c r="D30" s="396"/>
      <c r="E30" s="396" t="s">
        <v>177</v>
      </c>
      <c r="F30" s="396" t="s">
        <v>134</v>
      </c>
      <c r="G30" s="396"/>
      <c r="H30" s="399" t="s">
        <v>187</v>
      </c>
      <c r="I30" s="398">
        <v>44</v>
      </c>
      <c r="J30" s="398">
        <v>25</v>
      </c>
      <c r="K30" s="399" t="s">
        <v>178</v>
      </c>
      <c r="L30" s="400" t="s">
        <v>139</v>
      </c>
      <c r="M30" s="397" t="s">
        <v>140</v>
      </c>
      <c r="N30" s="401" t="s">
        <v>126</v>
      </c>
      <c r="O30" s="400" t="s">
        <v>139</v>
      </c>
      <c r="P30" s="402" t="s">
        <v>140</v>
      </c>
      <c r="Q30" s="403" t="s">
        <v>170</v>
      </c>
      <c r="R30" s="454" t="s">
        <v>180</v>
      </c>
      <c r="S30" s="455" t="s">
        <v>181</v>
      </c>
      <c r="T30" s="455" t="s">
        <v>182</v>
      </c>
      <c r="U30" s="456" t="s">
        <v>183</v>
      </c>
      <c r="V30" s="457"/>
      <c r="W30" s="458"/>
      <c r="X30" s="458"/>
      <c r="Y30" s="458"/>
      <c r="Z30" s="459"/>
      <c r="AA30" s="460"/>
      <c r="AB30" s="470" t="s">
        <v>188</v>
      </c>
      <c r="AC30" s="411"/>
      <c r="AD30" s="462"/>
      <c r="AE30" s="463" t="str">
        <f t="shared" si="0"/>
        <v/>
      </c>
      <c r="AF30" s="460"/>
      <c r="AG30" s="464" t="s">
        <v>180</v>
      </c>
      <c r="AH30" s="464" t="s">
        <v>152</v>
      </c>
      <c r="AI30" s="465" t="s">
        <v>163</v>
      </c>
      <c r="AJ30" s="457"/>
      <c r="AK30" s="462"/>
    </row>
    <row r="31" spans="1:37" ht="24" customHeight="1">
      <c r="A31" s="321" t="s">
        <v>127</v>
      </c>
      <c r="B31" s="466" t="str">
        <f ca="1">IFERROR('Compo.Relais(2)'!$AF13,"")</f>
        <v/>
      </c>
      <c r="C31" s="413" t="str">
        <f ca="1">IF(B31&lt;&gt;"",INDEX(Perf.Sprint!$C$4:$C$41,MATCH(B31,Perf.Sprint!$B$4:$B$41,0)),"")</f>
        <v/>
      </c>
      <c r="D31" s="413" t="s">
        <v>149</v>
      </c>
      <c r="E31" s="413" t="str">
        <f ca="1">IFERROR('Compo.Relais(2)'!$AH13,"")</f>
        <v/>
      </c>
      <c r="F31" s="413" t="str">
        <f ca="1">IF(E31&lt;&gt;"",INDEX(Perf.Sprint!$C$4:$C$41,MATCH(E31,Perf.Sprint!$B$4:$B$41,0)),"")</f>
        <v/>
      </c>
      <c r="G31" s="413" t="str">
        <f ca="1">CONCATENATE(C31,F31)</f>
        <v/>
      </c>
      <c r="H31" s="414"/>
      <c r="I31" s="415" t="str">
        <f ca="1">IF(B31&lt;&gt;0,INDEX(Perf.Sprint!$BJ$4:$BJ$40,MATCH(B31,Perf.Sprint!$B$4:$B$40,0)),"")</f>
        <v/>
      </c>
      <c r="J31" s="415" t="str">
        <f ca="1">IF(E31&lt;&gt;0,INDEX(Perf.Sprint!$BG$4:$BG$40,MATCH(E31,Perf.Sprint!$B$4:$B$40,0)),"")</f>
        <v/>
      </c>
      <c r="K31" s="416" t="str">
        <f ca="1">IFERROR(SUM(I31+J31),"")</f>
        <v/>
      </c>
      <c r="L31" s="413" t="str">
        <f ca="1">IF(K31="","",ROUND($J$2/K31,1))</f>
        <v/>
      </c>
      <c r="M31" s="417" t="str">
        <f ca="1">IF(K31="","",(L31*3600)/1000)</f>
        <v/>
      </c>
      <c r="N31" s="473"/>
      <c r="O31" s="419" t="str">
        <f>IFERROR(IF(N31="","",ROUND($J$2/N31,1)),"")</f>
        <v/>
      </c>
      <c r="P31" s="420" t="str">
        <f>IF(O31&lt;&gt;"",(O31*3600)/1000,"")</f>
        <v/>
      </c>
      <c r="Q31" s="467"/>
      <c r="R31" s="422"/>
      <c r="S31" s="423"/>
      <c r="T31" s="423"/>
      <c r="U31" s="424"/>
      <c r="V31" s="425" t="str">
        <f>IF(COUNT(N31:N32)=2,SUM(N31:N32),"")</f>
        <v/>
      </c>
      <c r="W31" s="426" t="str">
        <f ca="1">IF($V31="","",IF(OR(AND(C31="M",F31="F"),AND(C31="F",F31="M")),VLOOKUP($V31,INDIRECT("rel"),1),VLOOKUP($V31,INDIRECT(C31&amp;"rel"),1)))</f>
        <v/>
      </c>
      <c r="X31" s="426" t="str">
        <f ca="1">IFERROR(IF(OR(AND(C31="M",F31="F"),AND(C31="F",F31="M")),INDEX(INDIRECT("rel"),MATCH($V31,INDIRECT("rel"))+1),INDEX(INDIRECT(C31&amp;"rel"),MATCH($V31,INDIRECT(C31&amp;"rel"))+1)),"")</f>
        <v/>
      </c>
      <c r="Y31" s="426" t="str">
        <f ca="1">IF(X31="",W31,IF(V31=W31,W31,X31))</f>
        <v/>
      </c>
      <c r="Z31" s="427" t="str">
        <f ca="1">IF(Y31="","",IF(OR(AND(C31="M",F31="F"),AND(C31="F",F31="M")),VLOOKUP(Y31,relais,3),IF(C31="F",VLOOKUP(Y31,relaisf,7),VLOOKUP(Y31,relaisg,5))))</f>
        <v/>
      </c>
      <c r="AA31" s="428" t="str">
        <f t="shared" ref="AA31" ca="1" si="58">IFERROR(AVERAGE(Z31,Z32),"")</f>
        <v/>
      </c>
      <c r="AB31" s="471" t="str">
        <f>IFERROR(IF(COUNT($N31)=1,($N31/K31)-1,""),"")</f>
        <v/>
      </c>
      <c r="AC31" s="430" t="str">
        <f>IF($AB31&lt;&gt;"",INDEX(Barème!$AI$3:$AI$28,MATCH($AB31,Barème!$AH$3:$AH$28,-1)),"")</f>
        <v/>
      </c>
      <c r="AD31" s="428" t="str">
        <f t="shared" ref="AD31" si="59">IF(COUNT(AC31:AC32)&gt;1,AVERAGE(AC31,AC32),"")</f>
        <v/>
      </c>
      <c r="AE31" s="431" t="str">
        <f t="shared" si="0"/>
        <v/>
      </c>
      <c r="AF31" s="428" t="str">
        <f t="shared" ref="AF31" si="60">IFERROR(AVERAGE(AE31:AE32),"")</f>
        <v/>
      </c>
      <c r="AG31" s="432" t="str">
        <f>IF(COUNTA(R31:S31)=2,COUNTIF(R31:S31,"OUI"),"")</f>
        <v/>
      </c>
      <c r="AH31" s="433" t="str">
        <f>IF(COUNTA(U31)=1,COUNTIF(U31,"OUI"),"")</f>
        <v/>
      </c>
      <c r="AI31" s="434" t="str">
        <f>IF(COUNTA(S31:T31)=2,COUNTIF(S31:T31,"OUI"),"")</f>
        <v/>
      </c>
      <c r="AJ31" s="428" t="str">
        <f>IF(COUNT(AG31:AH31,AI32)=3,MROUND(SUM(AG31,AH31,AI32),0.25),"")</f>
        <v/>
      </c>
      <c r="AK31" s="428" t="str">
        <f t="shared" ref="AK31:AK32" si="61">IFERROR((AF31/4)*3+(AJ31/5)*3,"")</f>
        <v/>
      </c>
    </row>
    <row r="32" spans="1:37" ht="24" customHeight="1" thickBot="1">
      <c r="A32" s="321" t="s">
        <v>128</v>
      </c>
      <c r="B32" s="468" t="str">
        <f ca="1">E31</f>
        <v/>
      </c>
      <c r="C32" s="436" t="str">
        <f ca="1">IF(B32&lt;&gt;"",INDEX(Perf.Sprint!$C$4:$C$41,MATCH(B32,Perf.Sprint!$B$4:$B$41,0)),"")</f>
        <v/>
      </c>
      <c r="D32" s="436" t="s">
        <v>149</v>
      </c>
      <c r="E32" s="436" t="str">
        <f ca="1">B31</f>
        <v/>
      </c>
      <c r="F32" s="436" t="str">
        <f ca="1">IF(E32&lt;&gt;"",INDEX(Perf.Sprint!$C$4:$C$41,MATCH(E32,Perf.Sprint!$B$4:$B$41,0)),"")</f>
        <v/>
      </c>
      <c r="G32" s="436" t="str">
        <f ca="1">CONCATENATE(F32,C32)</f>
        <v/>
      </c>
      <c r="H32" s="437"/>
      <c r="I32" s="438" t="str">
        <f ca="1">IF(B32&lt;&gt;0,INDEX(Perf.Sprint!$BJ$4:$BJ$40,MATCH(B32,Perf.Sprint!$B$4:$B$40,0)),"")</f>
        <v/>
      </c>
      <c r="J32" s="438" t="str">
        <f ca="1">IF(E32&lt;&gt;0,INDEX(Perf.Sprint!$BG$4:$BG$40,MATCH(E32,Perf.Sprint!$B$4:$B$40,0)),"")</f>
        <v/>
      </c>
      <c r="K32" s="438" t="str">
        <f ca="1">IFERROR(SUM(I32+J32),"")</f>
        <v/>
      </c>
      <c r="L32" s="436" t="str">
        <f ca="1">IF(K32="","",ROUND($J$2/K32,1))</f>
        <v/>
      </c>
      <c r="M32" s="439" t="str">
        <f ca="1">IF(K32="","",(L32*3600)/1000)</f>
        <v/>
      </c>
      <c r="N32" s="474"/>
      <c r="O32" s="441" t="str">
        <f>IFERROR(IF(N32="","",ROUND($J$2/N32,1)),"")</f>
        <v/>
      </c>
      <c r="P32" s="442" t="str">
        <f>IF(O32&lt;&gt;"",(O32*3600)/1000,"")</f>
        <v/>
      </c>
      <c r="Q32" s="469"/>
      <c r="R32" s="444"/>
      <c r="S32" s="445"/>
      <c r="T32" s="445"/>
      <c r="U32" s="446"/>
      <c r="V32" s="447" t="str">
        <f>IF(COUNT(N31:N32)=2,SUM(N31:N32),"")</f>
        <v/>
      </c>
      <c r="W32" s="448" t="str">
        <f ca="1">IF($V32="","",IF(OR(AND(C32="M",F32="F"),AND(C32="F",F32="M")),VLOOKUP($V32,INDIRECT("rel"),1),VLOOKUP($V32,INDIRECT(C32&amp;"rel"),1)))</f>
        <v/>
      </c>
      <c r="X32" s="448" t="str">
        <f ca="1">IFERROR(IF(OR(AND(C32="M",F32="F"),AND(C32="F",F32="M")),INDEX(INDIRECT("rel"),MATCH($V32,INDIRECT("rel"))+1),INDEX(INDIRECT(C32&amp;"rel"),MATCH($V32,INDIRECT(C32&amp;"rel"))+1)),"")</f>
        <v/>
      </c>
      <c r="Y32" s="448" t="str">
        <f ca="1">IF(X32="",W32,IF(V32=W32,W32,X32))</f>
        <v/>
      </c>
      <c r="Z32" s="449" t="str">
        <f ca="1">IF(Y32="","",IF(OR(AND(C32="M",F32="F"),AND(C32="F",F32="M")),VLOOKUP(Y32,relais,3),IF(C32="F",VLOOKUP(Y32,relaisf,7),VLOOKUP(Y32,relaisg,5))))</f>
        <v/>
      </c>
      <c r="AA32" s="450" t="str">
        <f t="shared" ref="AA32" ca="1" si="62">IFERROR(AVERAGE(Z31,Z32),"")</f>
        <v/>
      </c>
      <c r="AB32" s="472" t="str">
        <f>IFERROR(IF(COUNT($N32)=1,($N32/K32)-1,""),"")</f>
        <v/>
      </c>
      <c r="AC32" s="452" t="str">
        <f>IF($AB32&lt;&gt;"",INDEX(Barème!$AI$3:$AI$28,MATCH($AB32,Barème!$AH$3:$AH$28,-1)),"")</f>
        <v/>
      </c>
      <c r="AD32" s="450" t="str">
        <f t="shared" ref="AD32" si="63">IF(COUNT(AC31:AC32)&gt;1,AVERAGE(AC31,AC32),"")</f>
        <v/>
      </c>
      <c r="AE32" s="453" t="str">
        <f t="shared" si="0"/>
        <v/>
      </c>
      <c r="AF32" s="450" t="str">
        <f t="shared" ref="AF32" si="64">IFERROR(AVERAGE(AE32,AE31),"")</f>
        <v/>
      </c>
      <c r="AG32" s="432" t="str">
        <f>IF(COUNTA(R32:S32)=2,COUNTIF(R32:S32,"OUI"),"")</f>
        <v/>
      </c>
      <c r="AH32" s="433" t="str">
        <f>IF(COUNTA(U32)=1,COUNTIF(U32,"OUI"),"")</f>
        <v/>
      </c>
      <c r="AI32" s="434" t="str">
        <f>IF(COUNTA(S32:T32)=2,COUNTIF(S32:T32,"OUI"),"")</f>
        <v/>
      </c>
      <c r="AJ32" s="450" t="str">
        <f t="shared" ref="AJ32" si="65">IF(COUNT(AG32:AH32,AI31)=3,MROUND(SUM(AG32,AH32,AI31),0.25),"")</f>
        <v/>
      </c>
      <c r="AK32" s="450" t="str">
        <f t="shared" si="61"/>
        <v/>
      </c>
    </row>
    <row r="33" spans="1:37" ht="15.75" thickBot="1">
      <c r="A33" s="330">
        <v>11</v>
      </c>
      <c r="B33" s="394" t="s">
        <v>176</v>
      </c>
      <c r="C33" s="395" t="s">
        <v>134</v>
      </c>
      <c r="D33" s="396"/>
      <c r="E33" s="396" t="s">
        <v>177</v>
      </c>
      <c r="F33" s="396" t="s">
        <v>134</v>
      </c>
      <c r="G33" s="396"/>
      <c r="H33" s="399" t="s">
        <v>187</v>
      </c>
      <c r="I33" s="398">
        <v>45</v>
      </c>
      <c r="J33" s="398">
        <v>25</v>
      </c>
      <c r="K33" s="399" t="s">
        <v>178</v>
      </c>
      <c r="L33" s="400" t="s">
        <v>139</v>
      </c>
      <c r="M33" s="397" t="s">
        <v>140</v>
      </c>
      <c r="N33" s="401" t="s">
        <v>126</v>
      </c>
      <c r="O33" s="400" t="s">
        <v>139</v>
      </c>
      <c r="P33" s="402" t="s">
        <v>140</v>
      </c>
      <c r="Q33" s="403" t="s">
        <v>170</v>
      </c>
      <c r="R33" s="454" t="s">
        <v>180</v>
      </c>
      <c r="S33" s="455" t="s">
        <v>181</v>
      </c>
      <c r="T33" s="455" t="s">
        <v>182</v>
      </c>
      <c r="U33" s="456" t="s">
        <v>183</v>
      </c>
      <c r="V33" s="457"/>
      <c r="W33" s="458"/>
      <c r="X33" s="458"/>
      <c r="Y33" s="458"/>
      <c r="Z33" s="459"/>
      <c r="AA33" s="460"/>
      <c r="AB33" s="470" t="s">
        <v>188</v>
      </c>
      <c r="AC33" s="411"/>
      <c r="AD33" s="462"/>
      <c r="AE33" s="463" t="str">
        <f t="shared" si="0"/>
        <v/>
      </c>
      <c r="AF33" s="460"/>
      <c r="AG33" s="464" t="s">
        <v>180</v>
      </c>
      <c r="AH33" s="464" t="s">
        <v>152</v>
      </c>
      <c r="AI33" s="465" t="s">
        <v>163</v>
      </c>
      <c r="AJ33" s="457"/>
      <c r="AK33" s="462"/>
    </row>
    <row r="34" spans="1:37" ht="24" customHeight="1">
      <c r="A34" s="321" t="s">
        <v>127</v>
      </c>
      <c r="B34" s="466" t="str">
        <f ca="1">IFERROR('Compo.Relais(2)'!$AF14,"")</f>
        <v/>
      </c>
      <c r="C34" s="413" t="str">
        <f ca="1">IF(B34&lt;&gt;"",INDEX(Perf.Sprint!$C$4:$C$41,MATCH(B34,Perf.Sprint!$B$4:$B$41,0)),"")</f>
        <v/>
      </c>
      <c r="D34" s="413" t="s">
        <v>149</v>
      </c>
      <c r="E34" s="413" t="str">
        <f ca="1">IFERROR('Compo.Relais(2)'!$AH14,"")</f>
        <v/>
      </c>
      <c r="F34" s="413" t="str">
        <f ca="1">IF(E34&lt;&gt;"",INDEX(Perf.Sprint!$C$4:$C$41,MATCH(E34,Perf.Sprint!$B$4:$B$41,0)),"")</f>
        <v/>
      </c>
      <c r="G34" s="413" t="str">
        <f ca="1">CONCATENATE(C34,F34)</f>
        <v/>
      </c>
      <c r="H34" s="414"/>
      <c r="I34" s="415" t="str">
        <f ca="1">IF(B34&lt;&gt;0,INDEX(Perf.Sprint!$BJ$4:$BJ$40,MATCH(B34,Perf.Sprint!$B$4:$B$40,0)),"")</f>
        <v/>
      </c>
      <c r="J34" s="415" t="str">
        <f ca="1">IF(E34&lt;&gt;0,INDEX(Perf.Sprint!$BG$4:$BG$40,MATCH(E34,Perf.Sprint!$B$4:$B$40,0)),"")</f>
        <v/>
      </c>
      <c r="K34" s="416" t="str">
        <f ca="1">IFERROR(SUM(I34+J34),"")</f>
        <v/>
      </c>
      <c r="L34" s="413" t="str">
        <f ca="1">IF(K34="","",ROUND($J$2/K34,1))</f>
        <v/>
      </c>
      <c r="M34" s="417" t="str">
        <f ca="1">IF(K34="","",(L34*3600)/1000)</f>
        <v/>
      </c>
      <c r="N34" s="473"/>
      <c r="O34" s="419" t="str">
        <f>IFERROR(IF(N34="","",ROUND($J$2/N34,1)),"")</f>
        <v/>
      </c>
      <c r="P34" s="420" t="str">
        <f>IF(O34&lt;&gt;"",(O34*3600)/1000,"")</f>
        <v/>
      </c>
      <c r="Q34" s="467"/>
      <c r="R34" s="422"/>
      <c r="S34" s="423"/>
      <c r="T34" s="423"/>
      <c r="U34" s="424"/>
      <c r="V34" s="425" t="str">
        <f>IF(COUNT(N34:N35)=2,SUM(N34:N35),"")</f>
        <v/>
      </c>
      <c r="W34" s="426" t="str">
        <f ca="1">IF($V34="","",IF(OR(AND(C34="M",F34="F"),AND(C34="F",F34="M")),VLOOKUP($V34,INDIRECT("rel"),1),VLOOKUP($V34,INDIRECT(C34&amp;"rel"),1)))</f>
        <v/>
      </c>
      <c r="X34" s="426" t="str">
        <f ca="1">IFERROR(IF(OR(AND(C34="M",F34="F"),AND(C34="F",F34="M")),INDEX(INDIRECT("rel"),MATCH($V34,INDIRECT("rel"))+1),INDEX(INDIRECT(C34&amp;"rel"),MATCH($V34,INDIRECT(C34&amp;"rel"))+1)),"")</f>
        <v/>
      </c>
      <c r="Y34" s="426" t="str">
        <f ca="1">IF(X34="",W34,IF(V34=W34,W34,X34))</f>
        <v/>
      </c>
      <c r="Z34" s="427" t="str">
        <f ca="1">IF(Y34="","",IF(OR(AND(C34="M",F34="F"),AND(C34="F",F34="M")),VLOOKUP(Y34,relais,3),IF(C34="F",VLOOKUP(Y34,relaisf,7),VLOOKUP(Y34,relaisg,5))))</f>
        <v/>
      </c>
      <c r="AA34" s="428" t="str">
        <f t="shared" ref="AA34" ca="1" si="66">IFERROR(AVERAGE(Z34,Z35),"")</f>
        <v/>
      </c>
      <c r="AB34" s="471" t="str">
        <f>IFERROR(IF(COUNT($N34)=1,($N34/K34)-1,""),"")</f>
        <v/>
      </c>
      <c r="AC34" s="430" t="str">
        <f>IF($AB34&lt;&gt;"",INDEX(Barème!$AI$3:$AI$28,MATCH($AB34,Barème!$AH$3:$AH$28,-1)),"")</f>
        <v/>
      </c>
      <c r="AD34" s="428" t="str">
        <f t="shared" ref="AD34" si="67">IF(COUNT(AC34:AC35)&gt;1,AVERAGE(AC34,AC35),"")</f>
        <v/>
      </c>
      <c r="AE34" s="431" t="str">
        <f t="shared" si="0"/>
        <v/>
      </c>
      <c r="AF34" s="428" t="str">
        <f t="shared" ref="AF34" si="68">IFERROR(AVERAGE(AE34:AE35),"")</f>
        <v/>
      </c>
      <c r="AG34" s="432" t="str">
        <f>IF(COUNTA(R34:S34)=2,COUNTIF(R34:S34,"OUI"),"")</f>
        <v/>
      </c>
      <c r="AH34" s="433" t="str">
        <f>IF(COUNTA(U34)=1,COUNTIF(U34,"OUI"),"")</f>
        <v/>
      </c>
      <c r="AI34" s="434" t="str">
        <f>IF(COUNTA(S34:T34)=2,COUNTIF(S34:T34,"OUI"),"")</f>
        <v/>
      </c>
      <c r="AJ34" s="428" t="str">
        <f>IF(COUNT(AG34:AH34,AI35)=3,MROUND(SUM(AG34,AH34,AI35),0.25),"")</f>
        <v/>
      </c>
      <c r="AK34" s="428" t="str">
        <f t="shared" ref="AK34:AK35" si="69">IFERROR((AF34/4)*3+(AJ34/5)*3,"")</f>
        <v/>
      </c>
    </row>
    <row r="35" spans="1:37" ht="24" customHeight="1" thickBot="1">
      <c r="A35" s="321" t="s">
        <v>128</v>
      </c>
      <c r="B35" s="468" t="str">
        <f ca="1">E34</f>
        <v/>
      </c>
      <c r="C35" s="436" t="str">
        <f ca="1">IF(B35&lt;&gt;"",INDEX(Perf.Sprint!$C$4:$C$41,MATCH(B35,Perf.Sprint!$B$4:$B$41,0)),"")</f>
        <v/>
      </c>
      <c r="D35" s="436" t="s">
        <v>149</v>
      </c>
      <c r="E35" s="436" t="str">
        <f ca="1">B34</f>
        <v/>
      </c>
      <c r="F35" s="436" t="str">
        <f ca="1">IF(E35&lt;&gt;"",INDEX(Perf.Sprint!$C$4:$C$41,MATCH(E35,Perf.Sprint!$B$4:$B$41,0)),"")</f>
        <v/>
      </c>
      <c r="G35" s="436" t="str">
        <f ca="1">CONCATENATE(F35,C35)</f>
        <v/>
      </c>
      <c r="H35" s="437"/>
      <c r="I35" s="438" t="str">
        <f ca="1">IF(B35&lt;&gt;0,INDEX(Perf.Sprint!$BJ$4:$BJ$40,MATCH(B35,Perf.Sprint!$B$4:$B$40,0)),"")</f>
        <v/>
      </c>
      <c r="J35" s="438" t="str">
        <f ca="1">IF(E35&lt;&gt;0,INDEX(Perf.Sprint!$BG$4:$BG$40,MATCH(E35,Perf.Sprint!$B$4:$B$40,0)),"")</f>
        <v/>
      </c>
      <c r="K35" s="438" t="str">
        <f ca="1">IFERROR(SUM(I35+J35),"")</f>
        <v/>
      </c>
      <c r="L35" s="436" t="str">
        <f ca="1">IF(K35="","",ROUND($J$2/K35,1))</f>
        <v/>
      </c>
      <c r="M35" s="439" t="str">
        <f ca="1">IF(K35="","",(L35*3600)/1000)</f>
        <v/>
      </c>
      <c r="N35" s="474"/>
      <c r="O35" s="441" t="str">
        <f>IFERROR(IF(N35="","",ROUND($J$2/N35,1)),"")</f>
        <v/>
      </c>
      <c r="P35" s="442" t="str">
        <f>IF(O35&lt;&gt;"",(O35*3600)/1000,"")</f>
        <v/>
      </c>
      <c r="Q35" s="469"/>
      <c r="R35" s="444"/>
      <c r="S35" s="445"/>
      <c r="T35" s="445"/>
      <c r="U35" s="446"/>
      <c r="V35" s="447" t="str">
        <f>IF(COUNT(N34:N35)=2,SUM(N34:N35),"")</f>
        <v/>
      </c>
      <c r="W35" s="448" t="str">
        <f ca="1">IF($V35="","",IF(OR(AND(C35="M",F35="F"),AND(C35="F",F35="M")),VLOOKUP($V35,INDIRECT("rel"),1),VLOOKUP($V35,INDIRECT(C35&amp;"rel"),1)))</f>
        <v/>
      </c>
      <c r="X35" s="448" t="str">
        <f ca="1">IFERROR(IF(OR(AND(C35="M",F35="F"),AND(C35="F",F35="M")),INDEX(INDIRECT("rel"),MATCH($V35,INDIRECT("rel"))+1),INDEX(INDIRECT(C35&amp;"rel"),MATCH($V35,INDIRECT(C35&amp;"rel"))+1)),"")</f>
        <v/>
      </c>
      <c r="Y35" s="448" t="str">
        <f ca="1">IF(X35="",W35,IF(V35=W35,W35,X35))</f>
        <v/>
      </c>
      <c r="Z35" s="449" t="str">
        <f ca="1">IF(Y35="","",IF(OR(AND(C35="M",F35="F"),AND(C35="F",F35="M")),VLOOKUP(Y35,relais,3),IF(C35="F",VLOOKUP(Y35,relaisf,7),VLOOKUP(Y35,relaisg,5))))</f>
        <v/>
      </c>
      <c r="AA35" s="450" t="str">
        <f t="shared" ref="AA35" ca="1" si="70">IFERROR(AVERAGE(Z34,Z35),"")</f>
        <v/>
      </c>
      <c r="AB35" s="472" t="str">
        <f>IFERROR(IF(COUNT($N35)=1,($N35/K35)-1,""),"")</f>
        <v/>
      </c>
      <c r="AC35" s="452" t="str">
        <f>IF($AB35&lt;&gt;"",INDEX(Barème!$AI$3:$AI$28,MATCH($AB35,Barème!$AH$3:$AH$28,-1)),"")</f>
        <v/>
      </c>
      <c r="AD35" s="450" t="str">
        <f t="shared" ref="AD35" si="71">IF(COUNT(AC34:AC35)&gt;1,AVERAGE(AC34,AC35),"")</f>
        <v/>
      </c>
      <c r="AE35" s="453" t="str">
        <f t="shared" si="0"/>
        <v/>
      </c>
      <c r="AF35" s="450" t="str">
        <f t="shared" ref="AF35" si="72">IFERROR(AVERAGE(AE35,AE34),"")</f>
        <v/>
      </c>
      <c r="AG35" s="432" t="str">
        <f>IF(COUNTA(R35:S35)=2,COUNTIF(R35:S35,"OUI"),"")</f>
        <v/>
      </c>
      <c r="AH35" s="433" t="str">
        <f>IF(COUNTA(U35)=1,COUNTIF(U35,"OUI"),"")</f>
        <v/>
      </c>
      <c r="AI35" s="434" t="str">
        <f>IF(COUNTA(S35:T35)=2,COUNTIF(S35:T35,"OUI"),"")</f>
        <v/>
      </c>
      <c r="AJ35" s="450" t="str">
        <f t="shared" ref="AJ35" si="73">IF(COUNT(AG35:AH35,AI34)=3,MROUND(SUM(AG35,AH35,AI34),0.25),"")</f>
        <v/>
      </c>
      <c r="AK35" s="450" t="str">
        <f t="shared" si="69"/>
        <v/>
      </c>
    </row>
    <row r="36" spans="1:37" ht="15.75" thickBot="1">
      <c r="A36" s="330">
        <v>12</v>
      </c>
      <c r="B36" s="394" t="s">
        <v>176</v>
      </c>
      <c r="C36" s="395" t="s">
        <v>134</v>
      </c>
      <c r="D36" s="396"/>
      <c r="E36" s="396" t="s">
        <v>177</v>
      </c>
      <c r="F36" s="396" t="s">
        <v>134</v>
      </c>
      <c r="G36" s="396"/>
      <c r="H36" s="399" t="s">
        <v>187</v>
      </c>
      <c r="I36" s="398">
        <v>46</v>
      </c>
      <c r="J36" s="398">
        <v>25</v>
      </c>
      <c r="K36" s="399" t="s">
        <v>178</v>
      </c>
      <c r="L36" s="400" t="s">
        <v>139</v>
      </c>
      <c r="M36" s="397" t="s">
        <v>140</v>
      </c>
      <c r="N36" s="401" t="s">
        <v>126</v>
      </c>
      <c r="O36" s="400" t="s">
        <v>139</v>
      </c>
      <c r="P36" s="402" t="s">
        <v>140</v>
      </c>
      <c r="Q36" s="403" t="s">
        <v>170</v>
      </c>
      <c r="R36" s="454" t="s">
        <v>180</v>
      </c>
      <c r="S36" s="455" t="s">
        <v>181</v>
      </c>
      <c r="T36" s="455" t="s">
        <v>182</v>
      </c>
      <c r="U36" s="456" t="s">
        <v>183</v>
      </c>
      <c r="V36" s="457"/>
      <c r="W36" s="458"/>
      <c r="X36" s="458"/>
      <c r="Y36" s="458"/>
      <c r="Z36" s="459"/>
      <c r="AA36" s="460"/>
      <c r="AB36" s="470" t="s">
        <v>188</v>
      </c>
      <c r="AC36" s="411"/>
      <c r="AD36" s="462"/>
      <c r="AE36" s="463" t="str">
        <f t="shared" si="0"/>
        <v/>
      </c>
      <c r="AF36" s="460"/>
      <c r="AG36" s="464" t="s">
        <v>180</v>
      </c>
      <c r="AH36" s="464" t="s">
        <v>152</v>
      </c>
      <c r="AI36" s="465" t="s">
        <v>163</v>
      </c>
      <c r="AJ36" s="457"/>
      <c r="AK36" s="462"/>
    </row>
    <row r="37" spans="1:37" ht="24" customHeight="1">
      <c r="A37" s="321" t="s">
        <v>127</v>
      </c>
      <c r="B37" s="466" t="str">
        <f ca="1">IFERROR('Compo.Relais(2)'!$AF15,"")</f>
        <v/>
      </c>
      <c r="C37" s="413" t="str">
        <f ca="1">IF(B37&lt;&gt;"",INDEX(Perf.Sprint!$C$4:$C$41,MATCH(B37,Perf.Sprint!$B$4:$B$41,0)),"")</f>
        <v/>
      </c>
      <c r="D37" s="413" t="s">
        <v>149</v>
      </c>
      <c r="E37" s="413" t="str">
        <f ca="1">IFERROR('Compo.Relais(2)'!$AH15,"")</f>
        <v/>
      </c>
      <c r="F37" s="413" t="str">
        <f ca="1">IF(E37&lt;&gt;"",INDEX(Perf.Sprint!$C$4:$C$41,MATCH(E37,Perf.Sprint!$B$4:$B$41,0)),"")</f>
        <v/>
      </c>
      <c r="G37" s="413" t="str">
        <f ca="1">CONCATENATE(C37,F37)</f>
        <v/>
      </c>
      <c r="H37" s="414"/>
      <c r="I37" s="415" t="str">
        <f ca="1">IF(B37&lt;&gt;0,INDEX(Perf.Sprint!$BJ$4:$BJ$40,MATCH(B37,Perf.Sprint!$B$4:$B$40,0)),"")</f>
        <v/>
      </c>
      <c r="J37" s="415" t="str">
        <f ca="1">IF(E37&lt;&gt;0,INDEX(Perf.Sprint!$BG$4:$BG$40,MATCH(E37,Perf.Sprint!$B$4:$B$40,0)),"")</f>
        <v/>
      </c>
      <c r="K37" s="416" t="str">
        <f ca="1">IFERROR(SUM(I37+J37),"")</f>
        <v/>
      </c>
      <c r="L37" s="413" t="str">
        <f ca="1">IF(K37="","",ROUND($J$2/K37,1))</f>
        <v/>
      </c>
      <c r="M37" s="417" t="str">
        <f ca="1">IF(K37="","",(L37*3600)/1000)</f>
        <v/>
      </c>
      <c r="N37" s="473"/>
      <c r="O37" s="419" t="str">
        <f>IFERROR(IF(N37="","",ROUND($J$2/N37,1)),"")</f>
        <v/>
      </c>
      <c r="P37" s="420" t="str">
        <f>IF(O37&lt;&gt;"",(O37*3600)/1000,"")</f>
        <v/>
      </c>
      <c r="Q37" s="467"/>
      <c r="R37" s="422"/>
      <c r="S37" s="423"/>
      <c r="T37" s="423"/>
      <c r="U37" s="424"/>
      <c r="V37" s="425" t="str">
        <f>IF(COUNT(N37:N38)=2,SUM(N37:N38),"")</f>
        <v/>
      </c>
      <c r="W37" s="426" t="str">
        <f ca="1">IF($V37="","",IF(OR(AND(C37="M",F37="F"),AND(C37="F",F37="M")),VLOOKUP($V37,INDIRECT("rel"),1),VLOOKUP($V37,INDIRECT(C37&amp;"rel"),1)))</f>
        <v/>
      </c>
      <c r="X37" s="426" t="str">
        <f ca="1">IFERROR(IF(OR(AND(C37="M",F37="F"),AND(C37="F",F37="M")),INDEX(INDIRECT("rel"),MATCH($V37,INDIRECT("rel"))+1),INDEX(INDIRECT(C37&amp;"rel"),MATCH($V37,INDIRECT(C37&amp;"rel"))+1)),"")</f>
        <v/>
      </c>
      <c r="Y37" s="426" t="str">
        <f ca="1">IF(X37="",W37,IF(V37=W37,W37,X37))</f>
        <v/>
      </c>
      <c r="Z37" s="427" t="str">
        <f ca="1">IF(Y37="","",IF(OR(AND(C37="M",F37="F"),AND(C37="F",F37="M")),VLOOKUP(Y37,relais,3),IF(C37="F",VLOOKUP(Y37,relaisf,7),VLOOKUP(Y37,relaisg,5))))</f>
        <v/>
      </c>
      <c r="AA37" s="428" t="str">
        <f t="shared" ref="AA37" ca="1" si="74">IFERROR(AVERAGE(Z37,Z38),"")</f>
        <v/>
      </c>
      <c r="AB37" s="471" t="str">
        <f>IFERROR(IF(COUNT($N37)=1,($N37/K37)-1,""),"")</f>
        <v/>
      </c>
      <c r="AC37" s="430" t="str">
        <f>IF($AB37&lt;&gt;"",INDEX(Barème!$AI$3:$AI$28,MATCH($AB37,Barème!$AH$3:$AH$28,-1)),"")</f>
        <v/>
      </c>
      <c r="AD37" s="428" t="str">
        <f t="shared" ref="AD37" si="75">IF(COUNT(AC37:AC38)&gt;1,AVERAGE(AC37,AC38),"")</f>
        <v/>
      </c>
      <c r="AE37" s="431" t="str">
        <f t="shared" si="0"/>
        <v/>
      </c>
      <c r="AF37" s="428" t="str">
        <f t="shared" ref="AF37" si="76">IFERROR(AVERAGE(AE37:AE38),"")</f>
        <v/>
      </c>
      <c r="AG37" s="432" t="str">
        <f>IF(COUNTA(R37:S37)=2,COUNTIF(R37:S37,"OUI"),"")</f>
        <v/>
      </c>
      <c r="AH37" s="433" t="str">
        <f>IF(COUNTA(U37)=1,COUNTIF(U37,"OUI"),"")</f>
        <v/>
      </c>
      <c r="AI37" s="434" t="str">
        <f>IF(COUNTA(S37:T37)=2,COUNTIF(S37:T37,"OUI"),"")</f>
        <v/>
      </c>
      <c r="AJ37" s="428" t="str">
        <f>IF(COUNT(AG37:AH37,AI38)=3,MROUND(SUM(AG37,AH37,AI38),0.25),"")</f>
        <v/>
      </c>
      <c r="AK37" s="428" t="str">
        <f t="shared" ref="AK37:AK38" si="77">IFERROR((AF37/4)*3+(AJ37/5)*3,"")</f>
        <v/>
      </c>
    </row>
    <row r="38" spans="1:37" ht="24" customHeight="1" thickBot="1">
      <c r="A38" s="321" t="s">
        <v>128</v>
      </c>
      <c r="B38" s="468" t="str">
        <f ca="1">E37</f>
        <v/>
      </c>
      <c r="C38" s="436" t="str">
        <f ca="1">IF(B38&lt;&gt;"",INDEX(Perf.Sprint!$C$4:$C$41,MATCH(B38,Perf.Sprint!$B$4:$B$41,0)),"")</f>
        <v/>
      </c>
      <c r="D38" s="436" t="s">
        <v>149</v>
      </c>
      <c r="E38" s="436" t="str">
        <f ca="1">B37</f>
        <v/>
      </c>
      <c r="F38" s="436" t="str">
        <f ca="1">IF(E38&lt;&gt;"",INDEX(Perf.Sprint!$C$4:$C$41,MATCH(E38,Perf.Sprint!$B$4:$B$41,0)),"")</f>
        <v/>
      </c>
      <c r="G38" s="436" t="str">
        <f ca="1">CONCATENATE(F38,C38)</f>
        <v/>
      </c>
      <c r="H38" s="437"/>
      <c r="I38" s="438" t="str">
        <f ca="1">IF(B38&lt;&gt;0,INDEX(Perf.Sprint!$BJ$4:$BJ$40,MATCH(B38,Perf.Sprint!$B$4:$B$40,0)),"")</f>
        <v/>
      </c>
      <c r="J38" s="438" t="str">
        <f ca="1">IF(E38&lt;&gt;0,INDEX(Perf.Sprint!$BG$4:$BG$40,MATCH(E38,Perf.Sprint!$B$4:$B$40,0)),"")</f>
        <v/>
      </c>
      <c r="K38" s="438" t="str">
        <f ca="1">IFERROR(SUM(I38+J38),"")</f>
        <v/>
      </c>
      <c r="L38" s="436" t="str">
        <f ca="1">IF(K38="","",ROUND($J$2/K38,1))</f>
        <v/>
      </c>
      <c r="M38" s="439" t="str">
        <f ca="1">IF(K38="","",(L38*3600)/1000)</f>
        <v/>
      </c>
      <c r="N38" s="474"/>
      <c r="O38" s="441" t="str">
        <f>IFERROR(IF(N38="","",ROUND($J$2/N38,1)),"")</f>
        <v/>
      </c>
      <c r="P38" s="442" t="str">
        <f>IF(O38&lt;&gt;"",(O38*3600)/1000,"")</f>
        <v/>
      </c>
      <c r="Q38" s="469"/>
      <c r="R38" s="444"/>
      <c r="S38" s="445"/>
      <c r="T38" s="445"/>
      <c r="U38" s="446"/>
      <c r="V38" s="447" t="str">
        <f>IF(COUNT(N37:N38)=2,SUM(N37:N38),"")</f>
        <v/>
      </c>
      <c r="W38" s="448" t="str">
        <f ca="1">IF($V38="","",IF(OR(AND(C38="M",F38="F"),AND(C38="F",F38="M")),VLOOKUP($V38,INDIRECT("rel"),1),VLOOKUP($V38,INDIRECT(C38&amp;"rel"),1)))</f>
        <v/>
      </c>
      <c r="X38" s="448" t="str">
        <f ca="1">IFERROR(IF(OR(AND(C38="M",F38="F"),AND(C38="F",F38="M")),INDEX(INDIRECT("rel"),MATCH($V38,INDIRECT("rel"))+1),INDEX(INDIRECT(C38&amp;"rel"),MATCH($V38,INDIRECT(C38&amp;"rel"))+1)),"")</f>
        <v/>
      </c>
      <c r="Y38" s="448" t="str">
        <f ca="1">IF(X38="",W38,IF(V38=W38,W38,X38))</f>
        <v/>
      </c>
      <c r="Z38" s="449" t="str">
        <f ca="1">IF(Y38="","",IF(OR(AND(C38="M",F38="F"),AND(C38="F",F38="M")),VLOOKUP(Y38,relais,3),IF(C38="F",VLOOKUP(Y38,relaisf,7),VLOOKUP(Y38,relaisg,5))))</f>
        <v/>
      </c>
      <c r="AA38" s="450" t="str">
        <f t="shared" ref="AA38" ca="1" si="78">IFERROR(AVERAGE(Z37,Z38),"")</f>
        <v/>
      </c>
      <c r="AB38" s="472" t="str">
        <f>IFERROR(IF(COUNT($N38)=1,($N38/K38)-1,""),"")</f>
        <v/>
      </c>
      <c r="AC38" s="452" t="str">
        <f>IF($AB38&lt;&gt;"",INDEX(Barème!$AI$3:$AI$28,MATCH($AB38,Barème!$AH$3:$AH$28,-1)),"")</f>
        <v/>
      </c>
      <c r="AD38" s="450" t="str">
        <f t="shared" ref="AD38" si="79">IF(COUNT(AC37:AC38)&gt;1,AVERAGE(AC37,AC38),"")</f>
        <v/>
      </c>
      <c r="AE38" s="453" t="str">
        <f t="shared" si="0"/>
        <v/>
      </c>
      <c r="AF38" s="450" t="str">
        <f t="shared" ref="AF38" si="80">IFERROR(AVERAGE(AE38,AE37),"")</f>
        <v/>
      </c>
      <c r="AG38" s="432" t="str">
        <f>IF(COUNTA(R38:S38)=2,COUNTIF(R38:S38,"OUI"),"")</f>
        <v/>
      </c>
      <c r="AH38" s="433" t="str">
        <f>IF(COUNTA(U38)=1,COUNTIF(U38,"OUI"),"")</f>
        <v/>
      </c>
      <c r="AI38" s="434" t="str">
        <f>IF(COUNTA(S38:T38)=2,COUNTIF(S38:T38,"OUI"),"")</f>
        <v/>
      </c>
      <c r="AJ38" s="450" t="str">
        <f t="shared" ref="AJ38" si="81">IF(COUNT(AG38:AH38,AI37)=3,MROUND(SUM(AG38,AH38,AI37),0.25),"")</f>
        <v/>
      </c>
      <c r="AK38" s="450" t="str">
        <f t="shared" si="77"/>
        <v/>
      </c>
    </row>
    <row r="39" spans="1:37" ht="15.75" thickBot="1">
      <c r="A39" s="330">
        <v>13</v>
      </c>
      <c r="B39" s="394" t="s">
        <v>176</v>
      </c>
      <c r="C39" s="395" t="s">
        <v>134</v>
      </c>
      <c r="D39" s="396"/>
      <c r="E39" s="396" t="s">
        <v>177</v>
      </c>
      <c r="F39" s="396" t="s">
        <v>134</v>
      </c>
      <c r="G39" s="396"/>
      <c r="H39" s="399" t="s">
        <v>187</v>
      </c>
      <c r="I39" s="398">
        <v>47</v>
      </c>
      <c r="J39" s="398">
        <v>25</v>
      </c>
      <c r="K39" s="399" t="s">
        <v>178</v>
      </c>
      <c r="L39" s="400" t="s">
        <v>139</v>
      </c>
      <c r="M39" s="397" t="s">
        <v>140</v>
      </c>
      <c r="N39" s="401" t="s">
        <v>126</v>
      </c>
      <c r="O39" s="400" t="s">
        <v>139</v>
      </c>
      <c r="P39" s="402" t="s">
        <v>140</v>
      </c>
      <c r="Q39" s="403" t="s">
        <v>170</v>
      </c>
      <c r="R39" s="454" t="s">
        <v>180</v>
      </c>
      <c r="S39" s="455" t="s">
        <v>181</v>
      </c>
      <c r="T39" s="455" t="s">
        <v>182</v>
      </c>
      <c r="U39" s="456" t="s">
        <v>183</v>
      </c>
      <c r="V39" s="457"/>
      <c r="W39" s="458"/>
      <c r="X39" s="458"/>
      <c r="Y39" s="458"/>
      <c r="Z39" s="459"/>
      <c r="AA39" s="460"/>
      <c r="AB39" s="470" t="s">
        <v>188</v>
      </c>
      <c r="AC39" s="411"/>
      <c r="AD39" s="462"/>
      <c r="AE39" s="463" t="str">
        <f t="shared" si="0"/>
        <v/>
      </c>
      <c r="AF39" s="460"/>
      <c r="AG39" s="464" t="s">
        <v>180</v>
      </c>
      <c r="AH39" s="464" t="s">
        <v>152</v>
      </c>
      <c r="AI39" s="465" t="s">
        <v>163</v>
      </c>
      <c r="AJ39" s="457"/>
      <c r="AK39" s="462"/>
    </row>
    <row r="40" spans="1:37" ht="24" customHeight="1">
      <c r="A40" s="321" t="s">
        <v>127</v>
      </c>
      <c r="B40" s="466" t="str">
        <f ca="1">IFERROR('Compo.Relais(2)'!$AF16,"")</f>
        <v/>
      </c>
      <c r="C40" s="413" t="str">
        <f ca="1">IF(B40&lt;&gt;"",INDEX(Perf.Sprint!$C$4:$C$41,MATCH(B40,Perf.Sprint!$B$4:$B$41,0)),"")</f>
        <v/>
      </c>
      <c r="D40" s="413" t="s">
        <v>149</v>
      </c>
      <c r="E40" s="413" t="str">
        <f ca="1">IFERROR('Compo.Relais(2)'!$AH16,"")</f>
        <v/>
      </c>
      <c r="F40" s="413" t="str">
        <f ca="1">IF(E40&lt;&gt;"",INDEX(Perf.Sprint!$C$4:$C$41,MATCH(E40,Perf.Sprint!$B$4:$B$41,0)),"")</f>
        <v/>
      </c>
      <c r="G40" s="413" t="str">
        <f ca="1">CONCATENATE(C40,F40)</f>
        <v/>
      </c>
      <c r="H40" s="414"/>
      <c r="I40" s="415" t="str">
        <f ca="1">IF(B40&lt;&gt;0,INDEX(Perf.Sprint!$BJ$4:$BJ$40,MATCH(B40,Perf.Sprint!$B$4:$B$40,0)),"")</f>
        <v/>
      </c>
      <c r="J40" s="415" t="str">
        <f ca="1">IF(E40&lt;&gt;0,INDEX(Perf.Sprint!$BG$4:$BG$40,MATCH(E40,Perf.Sprint!$B$4:$B$40,0)),"")</f>
        <v/>
      </c>
      <c r="K40" s="416" t="str">
        <f ca="1">IFERROR(SUM(I40+J40),"")</f>
        <v/>
      </c>
      <c r="L40" s="413" t="str">
        <f ca="1">IF(K40="","",ROUND($J$2/K40,1))</f>
        <v/>
      </c>
      <c r="M40" s="417" t="str">
        <f ca="1">IF(K40="","",(L40*3600)/1000)</f>
        <v/>
      </c>
      <c r="N40" s="473"/>
      <c r="O40" s="419" t="str">
        <f>IFERROR(IF(N40="","",ROUND($J$2/N40,1)),"")</f>
        <v/>
      </c>
      <c r="P40" s="420" t="str">
        <f>IF(O40&lt;&gt;"",(O40*3600)/1000,"")</f>
        <v/>
      </c>
      <c r="Q40" s="467"/>
      <c r="R40" s="422"/>
      <c r="S40" s="423"/>
      <c r="T40" s="423"/>
      <c r="U40" s="424"/>
      <c r="V40" s="425" t="str">
        <f>IF(COUNT(N40:N41)=2,SUM(N40:N41),"")</f>
        <v/>
      </c>
      <c r="W40" s="426" t="str">
        <f ca="1">IF($V40="","",IF(OR(AND(C40="M",F40="F"),AND(C40="F",F40="M")),VLOOKUP($V40,INDIRECT("rel"),1),VLOOKUP($V40,INDIRECT(C40&amp;"rel"),1)))</f>
        <v/>
      </c>
      <c r="X40" s="426" t="str">
        <f ca="1">IFERROR(IF(OR(AND(C40="M",F40="F"),AND(C40="F",F40="M")),INDEX(INDIRECT("rel"),MATCH($V40,INDIRECT("rel"))+1),INDEX(INDIRECT(C40&amp;"rel"),MATCH($V40,INDIRECT(C40&amp;"rel"))+1)),"")</f>
        <v/>
      </c>
      <c r="Y40" s="426" t="str">
        <f ca="1">IF(X40="",W40,IF(V40=W40,W40,X40))</f>
        <v/>
      </c>
      <c r="Z40" s="427" t="str">
        <f ca="1">IF(Y40="","",IF(OR(AND(C40="M",F40="F"),AND(C40="F",F40="M")),VLOOKUP(Y40,relais,3),IF(C40="F",VLOOKUP(Y40,relaisf,7),VLOOKUP(Y40,relaisg,5))))</f>
        <v/>
      </c>
      <c r="AA40" s="428" t="str">
        <f t="shared" ref="AA40" ca="1" si="82">IFERROR(AVERAGE(Z40,Z41),"")</f>
        <v/>
      </c>
      <c r="AB40" s="471" t="str">
        <f>IFERROR(IF(COUNT($N40)=1,($N40/K40)-1,""),"")</f>
        <v/>
      </c>
      <c r="AC40" s="430" t="str">
        <f>IF($AB40&lt;&gt;"",INDEX(Barème!$AI$3:$AI$28,MATCH($AB40,Barème!$AH$3:$AH$28,-1)),"")</f>
        <v/>
      </c>
      <c r="AD40" s="428" t="str">
        <f t="shared" ref="AD40" si="83">IF(COUNT(AC40:AC41)&gt;1,AVERAGE(AC40,AC41),"")</f>
        <v/>
      </c>
      <c r="AE40" s="431" t="str">
        <f t="shared" si="0"/>
        <v/>
      </c>
      <c r="AF40" s="428" t="str">
        <f t="shared" ref="AF40" si="84">IFERROR(AVERAGE(AE40:AE41),"")</f>
        <v/>
      </c>
      <c r="AG40" s="432" t="str">
        <f>IF(COUNTA(R40:S40)=2,COUNTIF(R40:S40,"OUI"),"")</f>
        <v/>
      </c>
      <c r="AH40" s="433" t="str">
        <f>IF(COUNTA(U40)=1,COUNTIF(U40,"OUI"),"")</f>
        <v/>
      </c>
      <c r="AI40" s="434" t="str">
        <f>IF(COUNTA(S40:T40)=2,COUNTIF(S40:T40,"OUI"),"")</f>
        <v/>
      </c>
      <c r="AJ40" s="428" t="str">
        <f>IF(COUNT(AG40:AH40,AI41)=3,MROUND(SUM(AG40,AH40,AI41),0.25),"")</f>
        <v/>
      </c>
      <c r="AK40" s="428" t="str">
        <f t="shared" ref="AK40:AK41" si="85">IFERROR((AF40/4)*3+(AJ40/5)*3,"")</f>
        <v/>
      </c>
    </row>
    <row r="41" spans="1:37" ht="24" customHeight="1" thickBot="1">
      <c r="A41" s="321" t="s">
        <v>128</v>
      </c>
      <c r="B41" s="468" t="str">
        <f ca="1">E40</f>
        <v/>
      </c>
      <c r="C41" s="436" t="str">
        <f ca="1">IF(B41&lt;&gt;"",INDEX(Perf.Sprint!$C$4:$C$41,MATCH(B41,Perf.Sprint!$B$4:$B$41,0)),"")</f>
        <v/>
      </c>
      <c r="D41" s="436" t="s">
        <v>149</v>
      </c>
      <c r="E41" s="436" t="str">
        <f ca="1">B40</f>
        <v/>
      </c>
      <c r="F41" s="436" t="str">
        <f ca="1">IF(E41&lt;&gt;"",INDEX(Perf.Sprint!$C$4:$C$41,MATCH(E41,Perf.Sprint!$B$4:$B$41,0)),"")</f>
        <v/>
      </c>
      <c r="G41" s="436" t="str">
        <f ca="1">CONCATENATE(F41,C41)</f>
        <v/>
      </c>
      <c r="H41" s="437"/>
      <c r="I41" s="438" t="str">
        <f ca="1">IF(B41&lt;&gt;0,INDEX(Perf.Sprint!$BJ$4:$BJ$40,MATCH(B41,Perf.Sprint!$B$4:$B$40,0)),"")</f>
        <v/>
      </c>
      <c r="J41" s="438" t="str">
        <f ca="1">IF(E41&lt;&gt;0,INDEX(Perf.Sprint!$BG$4:$BG$40,MATCH(E41,Perf.Sprint!$B$4:$B$40,0)),"")</f>
        <v/>
      </c>
      <c r="K41" s="438" t="str">
        <f ca="1">IFERROR(SUM(I41+J41),"")</f>
        <v/>
      </c>
      <c r="L41" s="436" t="str">
        <f ca="1">IF(K41="","",ROUND($J$2/K41,1))</f>
        <v/>
      </c>
      <c r="M41" s="439" t="str">
        <f ca="1">IF(K41="","",(L41*3600)/1000)</f>
        <v/>
      </c>
      <c r="N41" s="474"/>
      <c r="O41" s="441" t="str">
        <f>IFERROR(IF(N41="","",ROUND($J$2/N41,1)),"")</f>
        <v/>
      </c>
      <c r="P41" s="442" t="str">
        <f>IF(O41&lt;&gt;"",(O41*3600)/1000,"")</f>
        <v/>
      </c>
      <c r="Q41" s="469"/>
      <c r="R41" s="444"/>
      <c r="S41" s="445"/>
      <c r="T41" s="445"/>
      <c r="U41" s="446"/>
      <c r="V41" s="447" t="str">
        <f>IF(COUNT(N40:N41)=2,SUM(N40:N41),"")</f>
        <v/>
      </c>
      <c r="W41" s="448" t="str">
        <f ca="1">IF($V41="","",IF(OR(AND(C41="M",F41="F"),AND(C41="F",F41="M")),VLOOKUP($V41,INDIRECT("rel"),1),VLOOKUP($V41,INDIRECT(C41&amp;"rel"),1)))</f>
        <v/>
      </c>
      <c r="X41" s="448" t="str">
        <f ca="1">IFERROR(IF(OR(AND(C41="M",F41="F"),AND(C41="F",F41="M")),INDEX(INDIRECT("rel"),MATCH($V41,INDIRECT("rel"))+1),INDEX(INDIRECT(C41&amp;"rel"),MATCH($V41,INDIRECT(C41&amp;"rel"))+1)),"")</f>
        <v/>
      </c>
      <c r="Y41" s="448" t="str">
        <f ca="1">IF(X41="",W41,IF(V41=W41,W41,X41))</f>
        <v/>
      </c>
      <c r="Z41" s="449" t="str">
        <f ca="1">IF(Y41="","",IF(OR(AND(C41="M",F41="F"),AND(C41="F",F41="M")),VLOOKUP(Y41,relais,3),IF(C41="F",VLOOKUP(Y41,relaisf,7),VLOOKUP(Y41,relaisg,5))))</f>
        <v/>
      </c>
      <c r="AA41" s="450" t="str">
        <f t="shared" ref="AA41" ca="1" si="86">IFERROR(AVERAGE(Z40,Z41),"")</f>
        <v/>
      </c>
      <c r="AB41" s="472" t="str">
        <f>IFERROR(IF(COUNT($N41)=1,($N41/K41)-1,""),"")</f>
        <v/>
      </c>
      <c r="AC41" s="452" t="str">
        <f>IF($AB41&lt;&gt;"",INDEX(Barème!$AI$3:$AI$28,MATCH($AB41,Barème!$AH$3:$AH$28,-1)),"")</f>
        <v/>
      </c>
      <c r="AD41" s="450" t="str">
        <f t="shared" ref="AD41" si="87">IF(COUNT(AC40:AC41)&gt;1,AVERAGE(AC40,AC41),"")</f>
        <v/>
      </c>
      <c r="AE41" s="453" t="str">
        <f t="shared" si="0"/>
        <v/>
      </c>
      <c r="AF41" s="450" t="str">
        <f t="shared" ref="AF41" si="88">IFERROR(AVERAGE(AE41,AE40),"")</f>
        <v/>
      </c>
      <c r="AG41" s="432" t="str">
        <f>IF(COUNTA(R41:S41)=2,COUNTIF(R41:S41,"OUI"),"")</f>
        <v/>
      </c>
      <c r="AH41" s="433" t="str">
        <f>IF(COUNTA(U41)=1,COUNTIF(U41,"OUI"),"")</f>
        <v/>
      </c>
      <c r="AI41" s="434" t="str">
        <f>IF(COUNTA(S41:T41)=2,COUNTIF(S41:T41,"OUI"),"")</f>
        <v/>
      </c>
      <c r="AJ41" s="450" t="str">
        <f t="shared" ref="AJ41" si="89">IF(COUNT(AG41:AH41,AI40)=3,MROUND(SUM(AG41,AH41,AI40),0.25),"")</f>
        <v/>
      </c>
      <c r="AK41" s="450" t="str">
        <f t="shared" si="85"/>
        <v/>
      </c>
    </row>
    <row r="42" spans="1:37" ht="15.75" thickBot="1">
      <c r="A42" s="330">
        <v>14</v>
      </c>
      <c r="B42" s="394" t="s">
        <v>176</v>
      </c>
      <c r="C42" s="395" t="s">
        <v>134</v>
      </c>
      <c r="D42" s="396"/>
      <c r="E42" s="396" t="s">
        <v>177</v>
      </c>
      <c r="F42" s="396" t="s">
        <v>134</v>
      </c>
      <c r="G42" s="396"/>
      <c r="H42" s="399" t="s">
        <v>187</v>
      </c>
      <c r="I42" s="398">
        <v>48</v>
      </c>
      <c r="J42" s="398">
        <v>25</v>
      </c>
      <c r="K42" s="399" t="s">
        <v>178</v>
      </c>
      <c r="L42" s="400" t="s">
        <v>139</v>
      </c>
      <c r="M42" s="397" t="s">
        <v>140</v>
      </c>
      <c r="N42" s="401" t="s">
        <v>126</v>
      </c>
      <c r="O42" s="400" t="s">
        <v>139</v>
      </c>
      <c r="P42" s="402" t="s">
        <v>140</v>
      </c>
      <c r="Q42" s="403" t="s">
        <v>170</v>
      </c>
      <c r="R42" s="454" t="s">
        <v>180</v>
      </c>
      <c r="S42" s="455" t="s">
        <v>181</v>
      </c>
      <c r="T42" s="455" t="s">
        <v>182</v>
      </c>
      <c r="U42" s="456" t="s">
        <v>183</v>
      </c>
      <c r="V42" s="457"/>
      <c r="W42" s="458"/>
      <c r="X42" s="458"/>
      <c r="Y42" s="458"/>
      <c r="Z42" s="459"/>
      <c r="AA42" s="460"/>
      <c r="AB42" s="470" t="s">
        <v>188</v>
      </c>
      <c r="AC42" s="411"/>
      <c r="AD42" s="462"/>
      <c r="AE42" s="463" t="str">
        <f t="shared" si="0"/>
        <v/>
      </c>
      <c r="AF42" s="460"/>
      <c r="AG42" s="464" t="s">
        <v>180</v>
      </c>
      <c r="AH42" s="464" t="s">
        <v>152</v>
      </c>
      <c r="AI42" s="465" t="s">
        <v>163</v>
      </c>
      <c r="AJ42" s="457"/>
      <c r="AK42" s="462"/>
    </row>
    <row r="43" spans="1:37" ht="24" customHeight="1">
      <c r="A43" s="321" t="s">
        <v>127</v>
      </c>
      <c r="B43" s="466" t="str">
        <f ca="1">IFERROR('Compo.Relais(2)'!$AF17,"")</f>
        <v/>
      </c>
      <c r="C43" s="413" t="str">
        <f ca="1">IF(B43&lt;&gt;"",INDEX(Perf.Sprint!$C$4:$C$41,MATCH(B43,Perf.Sprint!$B$4:$B$41,0)),"")</f>
        <v/>
      </c>
      <c r="D43" s="413" t="s">
        <v>149</v>
      </c>
      <c r="E43" s="413" t="str">
        <f ca="1">IFERROR('Compo.Relais(2)'!$AH17,"")</f>
        <v/>
      </c>
      <c r="F43" s="413" t="str">
        <f ca="1">IF(E43&lt;&gt;"",INDEX(Perf.Sprint!$C$4:$C$41,MATCH(E43,Perf.Sprint!$B$4:$B$41,0)),"")</f>
        <v/>
      </c>
      <c r="G43" s="413" t="str">
        <f ca="1">CONCATENATE(C43,F43)</f>
        <v/>
      </c>
      <c r="H43" s="414"/>
      <c r="I43" s="415" t="str">
        <f ca="1">IF(B43&lt;&gt;0,INDEX(Perf.Sprint!$BJ$4:$BJ$40,MATCH(B43,Perf.Sprint!$B$4:$B$40,0)),"")</f>
        <v/>
      </c>
      <c r="J43" s="415" t="str">
        <f ca="1">IF(E43&lt;&gt;0,INDEX(Perf.Sprint!$BG$4:$BG$40,MATCH(E43,Perf.Sprint!$B$4:$B$40,0)),"")</f>
        <v/>
      </c>
      <c r="K43" s="416" t="str">
        <f ca="1">IFERROR(SUM(I43+J43),"")</f>
        <v/>
      </c>
      <c r="L43" s="413" t="str">
        <f ca="1">IF(K43="","",ROUND($J$2/K43,1))</f>
        <v/>
      </c>
      <c r="M43" s="417" t="str">
        <f ca="1">IF(K43="","",(L43*3600)/1000)</f>
        <v/>
      </c>
      <c r="N43" s="473"/>
      <c r="O43" s="419" t="str">
        <f>IFERROR(IF(N43="","",ROUND($J$2/N43,1)),"")</f>
        <v/>
      </c>
      <c r="P43" s="420" t="str">
        <f>IF(O43&lt;&gt;"",(O43*3600)/1000,"")</f>
        <v/>
      </c>
      <c r="Q43" s="467"/>
      <c r="R43" s="422"/>
      <c r="S43" s="423"/>
      <c r="T43" s="423"/>
      <c r="U43" s="424"/>
      <c r="V43" s="425" t="str">
        <f>IF(COUNT(N43:N44)=2,SUM(N43:N44),"")</f>
        <v/>
      </c>
      <c r="W43" s="426" t="str">
        <f ca="1">IF($V43="","",IF(OR(AND(C43="M",F43="F"),AND(C43="F",F43="M")),VLOOKUP($V43,INDIRECT("rel"),1),VLOOKUP($V43,INDIRECT(C43&amp;"rel"),1)))</f>
        <v/>
      </c>
      <c r="X43" s="426" t="str">
        <f ca="1">IFERROR(IF(OR(AND(C43="M",F43="F"),AND(C43="F",F43="M")),INDEX(INDIRECT("rel"),MATCH($V43,INDIRECT("rel"))+1),INDEX(INDIRECT(C43&amp;"rel"),MATCH($V43,INDIRECT(C43&amp;"rel"))+1)),"")</f>
        <v/>
      </c>
      <c r="Y43" s="426" t="str">
        <f ca="1">IF(X43="",W43,IF(V43=W43,W43,X43))</f>
        <v/>
      </c>
      <c r="Z43" s="427" t="str">
        <f ca="1">IF(Y43="","",IF(OR(AND(C43="M",F43="F"),AND(C43="F",F43="M")),VLOOKUP(Y43,relais,3),IF(C43="F",VLOOKUP(Y43,relaisf,7),VLOOKUP(Y43,relaisg,5))))</f>
        <v/>
      </c>
      <c r="AA43" s="428" t="str">
        <f t="shared" ref="AA43" ca="1" si="90">IFERROR(AVERAGE(Z43,Z44),"")</f>
        <v/>
      </c>
      <c r="AB43" s="471" t="str">
        <f>IFERROR(IF(COUNT($N43)=1,($N43/K43)-1,""),"")</f>
        <v/>
      </c>
      <c r="AC43" s="430" t="str">
        <f>IF($AB43&lt;&gt;"",INDEX(Barème!$AI$3:$AI$28,MATCH($AB43,Barème!$AH$3:$AH$28,-1)),"")</f>
        <v/>
      </c>
      <c r="AD43" s="428" t="str">
        <f t="shared" ref="AD43" si="91">IF(COUNT(AC43:AC44)&gt;1,AVERAGE(AC43,AC44),"")</f>
        <v/>
      </c>
      <c r="AE43" s="431" t="str">
        <f t="shared" si="0"/>
        <v/>
      </c>
      <c r="AF43" s="428" t="str">
        <f t="shared" ref="AF43" si="92">IFERROR(AVERAGE(AE43:AE44),"")</f>
        <v/>
      </c>
      <c r="AG43" s="432" t="str">
        <f>IF(COUNTA(R43:S43)=2,COUNTIF(R43:S43,"OUI"),"")</f>
        <v/>
      </c>
      <c r="AH43" s="433" t="str">
        <f>IF(COUNTA(U43)=1,COUNTIF(U43,"OUI"),"")</f>
        <v/>
      </c>
      <c r="AI43" s="434" t="str">
        <f>IF(COUNTA(S43:T43)=2,COUNTIF(S43:T43,"OUI"),"")</f>
        <v/>
      </c>
      <c r="AJ43" s="428" t="str">
        <f>IF(COUNT(AG43:AH43,AI44)=3,MROUND(SUM(AG43,AH43,AI44),0.25),"")</f>
        <v/>
      </c>
      <c r="AK43" s="428" t="str">
        <f t="shared" ref="AK43:AK44" si="93">IFERROR((AF43/4)*3+(AJ43/5)*3,"")</f>
        <v/>
      </c>
    </row>
    <row r="44" spans="1:37" ht="24" customHeight="1" thickBot="1">
      <c r="A44" s="321" t="s">
        <v>128</v>
      </c>
      <c r="B44" s="468" t="str">
        <f ca="1">E43</f>
        <v/>
      </c>
      <c r="C44" s="436" t="str">
        <f ca="1">IF(B44&lt;&gt;"",INDEX(Perf.Sprint!$C$4:$C$41,MATCH(B44,Perf.Sprint!$B$4:$B$41,0)),"")</f>
        <v/>
      </c>
      <c r="D44" s="436" t="s">
        <v>149</v>
      </c>
      <c r="E44" s="436" t="str">
        <f ca="1">B43</f>
        <v/>
      </c>
      <c r="F44" s="436" t="str">
        <f ca="1">IF(E44&lt;&gt;"",INDEX(Perf.Sprint!$C$4:$C$41,MATCH(E44,Perf.Sprint!$B$4:$B$41,0)),"")</f>
        <v/>
      </c>
      <c r="G44" s="436" t="str">
        <f ca="1">CONCATENATE(F44,C44)</f>
        <v/>
      </c>
      <c r="H44" s="437"/>
      <c r="I44" s="438" t="str">
        <f ca="1">IF(B44&lt;&gt;0,INDEX(Perf.Sprint!$BJ$4:$BJ$40,MATCH(B44,Perf.Sprint!$B$4:$B$40,0)),"")</f>
        <v/>
      </c>
      <c r="J44" s="438" t="str">
        <f ca="1">IF(E44&lt;&gt;0,INDEX(Perf.Sprint!$BG$4:$BG$40,MATCH(E44,Perf.Sprint!$B$4:$B$40,0)),"")</f>
        <v/>
      </c>
      <c r="K44" s="438" t="str">
        <f ca="1">IFERROR(SUM(I44+J44),"")</f>
        <v/>
      </c>
      <c r="L44" s="436" t="str">
        <f ca="1">IF(K44="","",ROUND($J$2/K44,1))</f>
        <v/>
      </c>
      <c r="M44" s="439" t="str">
        <f ca="1">IF(K44="","",(L44*3600)/1000)</f>
        <v/>
      </c>
      <c r="N44" s="474"/>
      <c r="O44" s="441" t="str">
        <f>IFERROR(IF(N44="","",ROUND($J$2/N44,1)),"")</f>
        <v/>
      </c>
      <c r="P44" s="442" t="str">
        <f>IF(O44&lt;&gt;"",(O44*3600)/1000,"")</f>
        <v/>
      </c>
      <c r="Q44" s="469"/>
      <c r="R44" s="444"/>
      <c r="S44" s="445"/>
      <c r="T44" s="445"/>
      <c r="U44" s="446"/>
      <c r="V44" s="447" t="str">
        <f>IF(COUNT(N43:N44)=2,SUM(N43:N44),"")</f>
        <v/>
      </c>
      <c r="W44" s="448" t="str">
        <f ca="1">IF($V44="","",IF(OR(AND(C44="M",F44="F"),AND(C44="F",F44="M")),VLOOKUP($V44,INDIRECT("rel"),1),VLOOKUP($V44,INDIRECT(C44&amp;"rel"),1)))</f>
        <v/>
      </c>
      <c r="X44" s="448" t="str">
        <f ca="1">IFERROR(IF(OR(AND(C44="M",F44="F"),AND(C44="F",F44="M")),INDEX(INDIRECT("rel"),MATCH($V44,INDIRECT("rel"))+1),INDEX(INDIRECT(C44&amp;"rel"),MATCH($V44,INDIRECT(C44&amp;"rel"))+1)),"")</f>
        <v/>
      </c>
      <c r="Y44" s="448" t="str">
        <f ca="1">IF(X44="",W44,IF(V44=W44,W44,X44))</f>
        <v/>
      </c>
      <c r="Z44" s="449" t="str">
        <f ca="1">IF(Y44="","",IF(OR(AND(C44="M",F44="F"),AND(C44="F",F44="M")),VLOOKUP(Y44,relais,3),IF(C44="F",VLOOKUP(Y44,relaisf,7),VLOOKUP(Y44,relaisg,5))))</f>
        <v/>
      </c>
      <c r="AA44" s="450" t="str">
        <f t="shared" ref="AA44" ca="1" si="94">IFERROR(AVERAGE(Z43,Z44),"")</f>
        <v/>
      </c>
      <c r="AB44" s="472" t="str">
        <f>IFERROR(IF(COUNT($N44)=1,($N44/K44)-1,""),"")</f>
        <v/>
      </c>
      <c r="AC44" s="452" t="str">
        <f>IF($AB44&lt;&gt;"",INDEX(Barème!$AI$3:$AI$28,MATCH($AB44,Barème!$AH$3:$AH$28,-1)),"")</f>
        <v/>
      </c>
      <c r="AD44" s="450" t="str">
        <f t="shared" ref="AD44" si="95">IF(COUNT(AC43:AC44)&gt;1,AVERAGE(AC43,AC44),"")</f>
        <v/>
      </c>
      <c r="AE44" s="453" t="str">
        <f t="shared" si="0"/>
        <v/>
      </c>
      <c r="AF44" s="450" t="str">
        <f t="shared" ref="AF44" si="96">IFERROR(AVERAGE(AE44,AE43),"")</f>
        <v/>
      </c>
      <c r="AG44" s="432" t="str">
        <f>IF(COUNTA(R44:S44)=2,COUNTIF(R44:S44,"OUI"),"")</f>
        <v/>
      </c>
      <c r="AH44" s="433" t="str">
        <f>IF(COUNTA(U44)=1,COUNTIF(U44,"OUI"),"")</f>
        <v/>
      </c>
      <c r="AI44" s="434" t="str">
        <f>IF(COUNTA(S44:T44)=2,COUNTIF(S44:T44,"OUI"),"")</f>
        <v/>
      </c>
      <c r="AJ44" s="450" t="str">
        <f t="shared" ref="AJ44" si="97">IF(COUNT(AG44:AH44,AI43)=3,MROUND(SUM(AG44,AH44,AI43),0.25),"")</f>
        <v/>
      </c>
      <c r="AK44" s="450" t="str">
        <f t="shared" si="93"/>
        <v/>
      </c>
    </row>
    <row r="45" spans="1:37" ht="15.75" thickBot="1">
      <c r="A45" s="330">
        <v>15</v>
      </c>
      <c r="B45" s="394" t="s">
        <v>176</v>
      </c>
      <c r="C45" s="395" t="s">
        <v>134</v>
      </c>
      <c r="D45" s="396"/>
      <c r="E45" s="396" t="s">
        <v>177</v>
      </c>
      <c r="F45" s="396" t="s">
        <v>134</v>
      </c>
      <c r="G45" s="396"/>
      <c r="H45" s="399" t="s">
        <v>187</v>
      </c>
      <c r="I45" s="398">
        <v>49</v>
      </c>
      <c r="J45" s="398">
        <v>25</v>
      </c>
      <c r="K45" s="399" t="s">
        <v>178</v>
      </c>
      <c r="L45" s="400" t="s">
        <v>139</v>
      </c>
      <c r="M45" s="397" t="s">
        <v>140</v>
      </c>
      <c r="N45" s="401" t="s">
        <v>126</v>
      </c>
      <c r="O45" s="400" t="s">
        <v>139</v>
      </c>
      <c r="P45" s="402" t="s">
        <v>140</v>
      </c>
      <c r="Q45" s="403" t="s">
        <v>170</v>
      </c>
      <c r="R45" s="454" t="s">
        <v>180</v>
      </c>
      <c r="S45" s="455" t="s">
        <v>181</v>
      </c>
      <c r="T45" s="455" t="s">
        <v>182</v>
      </c>
      <c r="U45" s="456" t="s">
        <v>183</v>
      </c>
      <c r="V45" s="457"/>
      <c r="W45" s="458"/>
      <c r="X45" s="458"/>
      <c r="Y45" s="458"/>
      <c r="Z45" s="459"/>
      <c r="AA45" s="460"/>
      <c r="AB45" s="470" t="s">
        <v>188</v>
      </c>
      <c r="AC45" s="411"/>
      <c r="AD45" s="462"/>
      <c r="AE45" s="463" t="str">
        <f t="shared" si="0"/>
        <v/>
      </c>
      <c r="AF45" s="460"/>
      <c r="AG45" s="464" t="s">
        <v>180</v>
      </c>
      <c r="AH45" s="464" t="s">
        <v>152</v>
      </c>
      <c r="AI45" s="465" t="s">
        <v>163</v>
      </c>
      <c r="AJ45" s="457"/>
      <c r="AK45" s="462"/>
    </row>
    <row r="46" spans="1:37" ht="24" customHeight="1">
      <c r="A46" s="321" t="s">
        <v>127</v>
      </c>
      <c r="B46" s="466" t="str">
        <f ca="1">IFERROR('Compo.Relais(2)'!$AF18,"")</f>
        <v/>
      </c>
      <c r="C46" s="413" t="str">
        <f ca="1">IF(B46&lt;&gt;"",INDEX(Perf.Sprint!$C$4:$C$41,MATCH(B46,Perf.Sprint!$B$4:$B$41,0)),"")</f>
        <v/>
      </c>
      <c r="D46" s="413" t="s">
        <v>149</v>
      </c>
      <c r="E46" s="413" t="str">
        <f ca="1">IFERROR('Compo.Relais(2)'!$AH18,"")</f>
        <v/>
      </c>
      <c r="F46" s="413" t="str">
        <f ca="1">IF(E46&lt;&gt;"",INDEX(Perf.Sprint!$C$4:$C$41,MATCH(E46,Perf.Sprint!$B$4:$B$41,0)),"")</f>
        <v/>
      </c>
      <c r="G46" s="413" t="str">
        <f ca="1">CONCATENATE(C46,F46)</f>
        <v/>
      </c>
      <c r="H46" s="414"/>
      <c r="I46" s="415" t="str">
        <f ca="1">IF(B46&lt;&gt;0,INDEX(Perf.Sprint!$BJ$4:$BJ$40,MATCH(B46,Perf.Sprint!$B$4:$B$40,0)),"")</f>
        <v/>
      </c>
      <c r="J46" s="415" t="str">
        <f ca="1">IF(E46&lt;&gt;0,INDEX(Perf.Sprint!$BG$4:$BG$40,MATCH(E46,Perf.Sprint!$B$4:$B$40,0)),"")</f>
        <v/>
      </c>
      <c r="K46" s="416" t="str">
        <f ca="1">IFERROR(SUM(I46+J46),"")</f>
        <v/>
      </c>
      <c r="L46" s="413" t="str">
        <f ca="1">IF(K46="","",ROUND($J$2/K46,1))</f>
        <v/>
      </c>
      <c r="M46" s="417" t="str">
        <f ca="1">IF(K46="","",(L46*3600)/1000)</f>
        <v/>
      </c>
      <c r="N46" s="473"/>
      <c r="O46" s="419" t="str">
        <f>IFERROR(IF(N46="","",ROUND($J$2/N46,1)),"")</f>
        <v/>
      </c>
      <c r="P46" s="420" t="str">
        <f>IF(O46&lt;&gt;"",(O46*3600)/1000,"")</f>
        <v/>
      </c>
      <c r="Q46" s="467"/>
      <c r="R46" s="422"/>
      <c r="S46" s="423"/>
      <c r="T46" s="423"/>
      <c r="U46" s="424"/>
      <c r="V46" s="425" t="str">
        <f>IF(COUNT(N46:N47)=2,SUM(N46:N47),"")</f>
        <v/>
      </c>
      <c r="W46" s="426" t="str">
        <f ca="1">IF($V46="","",IF(OR(AND(C46="M",F46="F"),AND(C46="F",F46="M")),VLOOKUP($V46,INDIRECT("rel"),1),VLOOKUP($V46,INDIRECT(C46&amp;"rel"),1)))</f>
        <v/>
      </c>
      <c r="X46" s="426" t="str">
        <f ca="1">IFERROR(IF(OR(AND(C46="M",F46="F"),AND(C46="F",F46="M")),INDEX(INDIRECT("rel"),MATCH($V46,INDIRECT("rel"))+1),INDEX(INDIRECT(C46&amp;"rel"),MATCH($V46,INDIRECT(C46&amp;"rel"))+1)),"")</f>
        <v/>
      </c>
      <c r="Y46" s="426" t="str">
        <f ca="1">IF(X46="",W46,IF(V46=W46,W46,X46))</f>
        <v/>
      </c>
      <c r="Z46" s="427" t="str">
        <f ca="1">IF(Y46="","",IF(OR(AND(C46="M",F46="F"),AND(C46="F",F46="M")),VLOOKUP(Y46,relais,3),IF(C46="F",VLOOKUP(Y46,relaisf,7),VLOOKUP(Y46,relaisg,5))))</f>
        <v/>
      </c>
      <c r="AA46" s="428" t="str">
        <f t="shared" ref="AA46" ca="1" si="98">IFERROR(AVERAGE(Z46,Z47),"")</f>
        <v/>
      </c>
      <c r="AB46" s="471" t="str">
        <f>IFERROR(IF(COUNT($N46)=1,($N46/K46)-1,""),"")</f>
        <v/>
      </c>
      <c r="AC46" s="430" t="str">
        <f>IF($AB46&lt;&gt;"",INDEX(Barème!$AI$3:$AI$28,MATCH($AB46,Barème!$AH$3:$AH$28,-1)),"")</f>
        <v/>
      </c>
      <c r="AD46" s="428" t="str">
        <f t="shared" ref="AD46" si="99">IF(COUNT(AC46:AC47)&gt;1,AVERAGE(AC46,AC47),"")</f>
        <v/>
      </c>
      <c r="AE46" s="431" t="str">
        <f t="shared" si="0"/>
        <v/>
      </c>
      <c r="AF46" s="428" t="str">
        <f t="shared" ref="AF46" si="100">IFERROR(AVERAGE(AE46:AE47),"")</f>
        <v/>
      </c>
      <c r="AG46" s="432" t="str">
        <f>IF(COUNTA(R46:S46)=2,COUNTIF(R46:S46,"OUI"),"")</f>
        <v/>
      </c>
      <c r="AH46" s="433" t="str">
        <f>IF(COUNTA(U46)=1,COUNTIF(U46,"OUI"),"")</f>
        <v/>
      </c>
      <c r="AI46" s="434" t="str">
        <f>IF(COUNTA(S46:T46)=2,COUNTIF(S46:T46,"OUI"),"")</f>
        <v/>
      </c>
      <c r="AJ46" s="428" t="str">
        <f>IF(COUNT(AG46:AH46,AI47)=3,MROUND(SUM(AG46,AH46,AI47),0.25),"")</f>
        <v/>
      </c>
      <c r="AK46" s="428" t="str">
        <f t="shared" ref="AK46:AK47" si="101">IFERROR((AF46/4)*3+(AJ46/5)*3,"")</f>
        <v/>
      </c>
    </row>
    <row r="47" spans="1:37" ht="24" customHeight="1" thickBot="1">
      <c r="A47" s="321" t="s">
        <v>128</v>
      </c>
      <c r="B47" s="468" t="str">
        <f ca="1">E46</f>
        <v/>
      </c>
      <c r="C47" s="436" t="str">
        <f ca="1">IF(B47&lt;&gt;"",INDEX(Perf.Sprint!$C$4:$C$41,MATCH(B47,Perf.Sprint!$B$4:$B$41,0)),"")</f>
        <v/>
      </c>
      <c r="D47" s="436" t="s">
        <v>149</v>
      </c>
      <c r="E47" s="436" t="str">
        <f ca="1">B46</f>
        <v/>
      </c>
      <c r="F47" s="436" t="str">
        <f ca="1">IF(E47&lt;&gt;"",INDEX(Perf.Sprint!$C$4:$C$41,MATCH(E47,Perf.Sprint!$B$4:$B$41,0)),"")</f>
        <v/>
      </c>
      <c r="G47" s="436" t="str">
        <f ca="1">CONCATENATE(F47,C47)</f>
        <v/>
      </c>
      <c r="H47" s="437"/>
      <c r="I47" s="438" t="str">
        <f ca="1">IF(B47&lt;&gt;0,INDEX(Perf.Sprint!$BJ$4:$BJ$40,MATCH(B47,Perf.Sprint!$B$4:$B$40,0)),"")</f>
        <v/>
      </c>
      <c r="J47" s="438" t="str">
        <f ca="1">IF(E47&lt;&gt;0,INDEX(Perf.Sprint!$BG$4:$BG$40,MATCH(E47,Perf.Sprint!$B$4:$B$40,0)),"")</f>
        <v/>
      </c>
      <c r="K47" s="438" t="str">
        <f ca="1">IFERROR(SUM(I47+J47),"")</f>
        <v/>
      </c>
      <c r="L47" s="436" t="str">
        <f ca="1">IF(K47="","",ROUND($J$2/K47,1))</f>
        <v/>
      </c>
      <c r="M47" s="439" t="str">
        <f ca="1">IF(K47="","",(L47*3600)/1000)</f>
        <v/>
      </c>
      <c r="N47" s="474"/>
      <c r="O47" s="441" t="str">
        <f>IFERROR(IF(N47="","",ROUND($J$2/N47,1)),"")</f>
        <v/>
      </c>
      <c r="P47" s="442" t="str">
        <f>IF(O47&lt;&gt;"",(O47*3600)/1000,"")</f>
        <v/>
      </c>
      <c r="Q47" s="469"/>
      <c r="R47" s="444"/>
      <c r="S47" s="445"/>
      <c r="T47" s="445"/>
      <c r="U47" s="446"/>
      <c r="V47" s="447" t="str">
        <f>IF(COUNT(N46:N47)=2,SUM(N46:N47),"")</f>
        <v/>
      </c>
      <c r="W47" s="448" t="str">
        <f ca="1">IF($V47="","",IF(OR(AND(C47="M",F47="F"),AND(C47="F",F47="M")),VLOOKUP($V47,INDIRECT("rel"),1),VLOOKUP($V47,INDIRECT(C47&amp;"rel"),1)))</f>
        <v/>
      </c>
      <c r="X47" s="448" t="str">
        <f ca="1">IFERROR(IF(OR(AND(C47="M",F47="F"),AND(C47="F",F47="M")),INDEX(INDIRECT("rel"),MATCH($V47,INDIRECT("rel"))+1),INDEX(INDIRECT(C47&amp;"rel"),MATCH($V47,INDIRECT(C47&amp;"rel"))+1)),"")</f>
        <v/>
      </c>
      <c r="Y47" s="448" t="str">
        <f ca="1">IF(X47="",W47,IF(V47=W47,W47,X47))</f>
        <v/>
      </c>
      <c r="Z47" s="449" t="str">
        <f ca="1">IF(Y47="","",IF(OR(AND(C47="M",F47="F"),AND(C47="F",F47="M")),VLOOKUP(Y47,relais,3),IF(C47="F",VLOOKUP(Y47,relaisf,7),VLOOKUP(Y47,relaisg,5))))</f>
        <v/>
      </c>
      <c r="AA47" s="450" t="str">
        <f t="shared" ref="AA47" ca="1" si="102">IFERROR(AVERAGE(Z46,Z47),"")</f>
        <v/>
      </c>
      <c r="AB47" s="472" t="str">
        <f>IFERROR(IF(COUNT($N47)=1,($N47/K47)-1,""),"")</f>
        <v/>
      </c>
      <c r="AC47" s="452" t="str">
        <f>IF($AB47&lt;&gt;"",INDEX(Barème!$AI$3:$AI$28,MATCH($AB47,Barème!$AH$3:$AH$28,-1)),"")</f>
        <v/>
      </c>
      <c r="AD47" s="450" t="str">
        <f t="shared" ref="AD47" si="103">IF(COUNT(AC46:AC47)&gt;1,AVERAGE(AC46,AC47),"")</f>
        <v/>
      </c>
      <c r="AE47" s="453" t="str">
        <f t="shared" si="0"/>
        <v/>
      </c>
      <c r="AF47" s="450" t="str">
        <f t="shared" ref="AF47" si="104">IFERROR(AVERAGE(AE47,AE46),"")</f>
        <v/>
      </c>
      <c r="AG47" s="432" t="str">
        <f>IF(COUNTA(R47:S47)=2,COUNTIF(R47:S47,"OUI"),"")</f>
        <v/>
      </c>
      <c r="AH47" s="433" t="str">
        <f>IF(COUNTA(U47)=1,COUNTIF(U47,"OUI"),"")</f>
        <v/>
      </c>
      <c r="AI47" s="434" t="str">
        <f>IF(COUNTA(S47:T47)=2,COUNTIF(S47:T47,"OUI"),"")</f>
        <v/>
      </c>
      <c r="AJ47" s="450" t="str">
        <f t="shared" ref="AJ47" si="105">IF(COUNT(AG47:AH47,AI46)=3,MROUND(SUM(AG47,AH47,AI46),0.25),"")</f>
        <v/>
      </c>
      <c r="AK47" s="450" t="str">
        <f t="shared" si="101"/>
        <v/>
      </c>
    </row>
    <row r="48" spans="1:37" ht="15.75" thickBot="1">
      <c r="A48" s="330">
        <v>16</v>
      </c>
      <c r="B48" s="394" t="s">
        <v>176</v>
      </c>
      <c r="C48" s="395" t="s">
        <v>134</v>
      </c>
      <c r="D48" s="396"/>
      <c r="E48" s="396" t="s">
        <v>177</v>
      </c>
      <c r="F48" s="396" t="s">
        <v>134</v>
      </c>
      <c r="G48" s="396"/>
      <c r="H48" s="399" t="s">
        <v>187</v>
      </c>
      <c r="I48" s="398">
        <v>50</v>
      </c>
      <c r="J48" s="398">
        <v>25</v>
      </c>
      <c r="K48" s="399" t="s">
        <v>178</v>
      </c>
      <c r="L48" s="400" t="s">
        <v>139</v>
      </c>
      <c r="M48" s="397" t="s">
        <v>140</v>
      </c>
      <c r="N48" s="401" t="s">
        <v>126</v>
      </c>
      <c r="O48" s="400" t="s">
        <v>139</v>
      </c>
      <c r="P48" s="402" t="s">
        <v>140</v>
      </c>
      <c r="Q48" s="403" t="s">
        <v>170</v>
      </c>
      <c r="R48" s="454" t="s">
        <v>180</v>
      </c>
      <c r="S48" s="455" t="s">
        <v>181</v>
      </c>
      <c r="T48" s="455" t="s">
        <v>182</v>
      </c>
      <c r="U48" s="456" t="s">
        <v>183</v>
      </c>
      <c r="V48" s="457"/>
      <c r="W48" s="458"/>
      <c r="X48" s="458"/>
      <c r="Y48" s="458"/>
      <c r="Z48" s="459"/>
      <c r="AA48" s="460"/>
      <c r="AB48" s="470" t="s">
        <v>188</v>
      </c>
      <c r="AC48" s="411"/>
      <c r="AD48" s="462"/>
      <c r="AE48" s="463" t="str">
        <f t="shared" si="0"/>
        <v/>
      </c>
      <c r="AF48" s="460"/>
      <c r="AG48" s="464" t="s">
        <v>180</v>
      </c>
      <c r="AH48" s="464" t="s">
        <v>152</v>
      </c>
      <c r="AI48" s="465" t="s">
        <v>163</v>
      </c>
      <c r="AJ48" s="457"/>
      <c r="AK48" s="462"/>
    </row>
    <row r="49" spans="1:37" ht="24" customHeight="1">
      <c r="A49" s="321" t="s">
        <v>127</v>
      </c>
      <c r="B49" s="466" t="str">
        <f ca="1">IFERROR('Compo.Relais(2)'!$AF19,"")</f>
        <v/>
      </c>
      <c r="C49" s="413" t="str">
        <f ca="1">IF(B49&lt;&gt;"",INDEX(Perf.Sprint!$C$4:$C$41,MATCH(B49,Perf.Sprint!$B$4:$B$41,0)),"")</f>
        <v/>
      </c>
      <c r="D49" s="413" t="s">
        <v>149</v>
      </c>
      <c r="E49" s="413" t="str">
        <f ca="1">IFERROR('Compo.Relais(2)'!$AH19,"")</f>
        <v/>
      </c>
      <c r="F49" s="413" t="str">
        <f ca="1">IF(E49&lt;&gt;"",INDEX(Perf.Sprint!$C$4:$C$41,MATCH(E49,Perf.Sprint!$B$4:$B$41,0)),"")</f>
        <v/>
      </c>
      <c r="G49" s="413" t="str">
        <f ca="1">CONCATENATE(C49,F49)</f>
        <v/>
      </c>
      <c r="H49" s="414"/>
      <c r="I49" s="415" t="str">
        <f ca="1">IF(B49&lt;&gt;0,INDEX(Perf.Sprint!$BJ$4:$BJ$40,MATCH(B49,Perf.Sprint!$B$4:$B$40,0)),"")</f>
        <v/>
      </c>
      <c r="J49" s="415" t="str">
        <f ca="1">IF(E49&lt;&gt;0,INDEX(Perf.Sprint!$BG$4:$BG$40,MATCH(E49,Perf.Sprint!$B$4:$B$40,0)),"")</f>
        <v/>
      </c>
      <c r="K49" s="416" t="str">
        <f ca="1">IFERROR(SUM(I49+J49),"")</f>
        <v/>
      </c>
      <c r="L49" s="413" t="str">
        <f ca="1">IF(K49="","",ROUND($J$2/K49,1))</f>
        <v/>
      </c>
      <c r="M49" s="417" t="str">
        <f ca="1">IF(K49="","",(L49*3600)/1000)</f>
        <v/>
      </c>
      <c r="N49" s="473"/>
      <c r="O49" s="419" t="str">
        <f>IFERROR(IF(N49="","",ROUND($J$2/N49,1)),"")</f>
        <v/>
      </c>
      <c r="P49" s="420" t="str">
        <f>IF(O49&lt;&gt;"",(O49*3600)/1000,"")</f>
        <v/>
      </c>
      <c r="Q49" s="467"/>
      <c r="R49" s="422"/>
      <c r="S49" s="423"/>
      <c r="T49" s="423"/>
      <c r="U49" s="424"/>
      <c r="V49" s="425" t="str">
        <f>IF(COUNT(N49:N50)=2,SUM(N49:N50),"")</f>
        <v/>
      </c>
      <c r="W49" s="426" t="str">
        <f ca="1">IF($V49="","",IF(OR(AND(C49="M",F49="F"),AND(C49="F",F49="M")),VLOOKUP($V49,INDIRECT("rel"),1),VLOOKUP($V49,INDIRECT(C49&amp;"rel"),1)))</f>
        <v/>
      </c>
      <c r="X49" s="426" t="str">
        <f ca="1">IFERROR(IF(OR(AND(C49="M",F49="F"),AND(C49="F",F49="M")),INDEX(INDIRECT("rel"),MATCH($V49,INDIRECT("rel"))+1),INDEX(INDIRECT(C49&amp;"rel"),MATCH($V49,INDIRECT(C49&amp;"rel"))+1)),"")</f>
        <v/>
      </c>
      <c r="Y49" s="426" t="str">
        <f ca="1">IF(X49="",W49,IF(V49=W49,W49,X49))</f>
        <v/>
      </c>
      <c r="Z49" s="427" t="str">
        <f ca="1">IF(Y49="","",IF(OR(AND(C49="M",F49="F"),AND(C49="F",F49="M")),VLOOKUP(Y49,relais,3),IF(C49="F",VLOOKUP(Y49,relaisf,7),VLOOKUP(Y49,relaisg,5))))</f>
        <v/>
      </c>
      <c r="AA49" s="428" t="str">
        <f t="shared" ref="AA49" ca="1" si="106">IFERROR(AVERAGE(Z49,Z50),"")</f>
        <v/>
      </c>
      <c r="AB49" s="471" t="str">
        <f>IFERROR(IF(COUNT($N49)=1,($N49/K49)-1,""),"")</f>
        <v/>
      </c>
      <c r="AC49" s="430" t="str">
        <f>IF($AB49&lt;&gt;"",INDEX(Barème!$AI$3:$AI$28,MATCH($AB49,Barème!$AH$3:$AH$28,-1)),"")</f>
        <v/>
      </c>
      <c r="AD49" s="428" t="str">
        <f t="shared" ref="AD49" si="107">IF(COUNT(AC49:AC50)&gt;1,AVERAGE(AC49,AC50),"")</f>
        <v/>
      </c>
      <c r="AE49" s="431" t="str">
        <f t="shared" si="0"/>
        <v/>
      </c>
      <c r="AF49" s="428" t="str">
        <f t="shared" ref="AF49" si="108">IFERROR(AVERAGE(AE49:AE50),"")</f>
        <v/>
      </c>
      <c r="AG49" s="432" t="str">
        <f>IF(COUNTA(R49:S49)=2,COUNTIF(R49:S49,"OUI"),"")</f>
        <v/>
      </c>
      <c r="AH49" s="433" t="str">
        <f>IF(COUNTA(U49)=1,COUNTIF(U49,"OUI"),"")</f>
        <v/>
      </c>
      <c r="AI49" s="434" t="str">
        <f>IF(COUNTA(S49:T49)=2,COUNTIF(S49:T49,"OUI"),"")</f>
        <v/>
      </c>
      <c r="AJ49" s="428" t="str">
        <f>IF(COUNT(AG49:AH49,AI50)=3,MROUND(SUM(AG49,AH49,AI50),0.25),"")</f>
        <v/>
      </c>
      <c r="AK49" s="428" t="str">
        <f t="shared" ref="AK49:AK50" si="109">IFERROR((AF49/4)*3+(AJ49/5)*3,"")</f>
        <v/>
      </c>
    </row>
    <row r="50" spans="1:37" ht="24" customHeight="1" thickBot="1">
      <c r="A50" s="321" t="s">
        <v>128</v>
      </c>
      <c r="B50" s="468" t="str">
        <f ca="1">E49</f>
        <v/>
      </c>
      <c r="C50" s="436" t="str">
        <f ca="1">IF(B50&lt;&gt;"",INDEX(Perf.Sprint!$C$4:$C$41,MATCH(B50,Perf.Sprint!$B$4:$B$41,0)),"")</f>
        <v/>
      </c>
      <c r="D50" s="436" t="s">
        <v>149</v>
      </c>
      <c r="E50" s="436" t="str">
        <f ca="1">B49</f>
        <v/>
      </c>
      <c r="F50" s="436" t="str">
        <f ca="1">IF(E50&lt;&gt;"",INDEX(Perf.Sprint!$C$4:$C$41,MATCH(E50,Perf.Sprint!$B$4:$B$41,0)),"")</f>
        <v/>
      </c>
      <c r="G50" s="436" t="str">
        <f ca="1">CONCATENATE(F50,C50)</f>
        <v/>
      </c>
      <c r="H50" s="437"/>
      <c r="I50" s="438" t="str">
        <f ca="1">IF(B50&lt;&gt;0,INDEX(Perf.Sprint!$BJ$4:$BJ$40,MATCH(B50,Perf.Sprint!$B$4:$B$40,0)),"")</f>
        <v/>
      </c>
      <c r="J50" s="438" t="str">
        <f ca="1">IF(E50&lt;&gt;0,INDEX(Perf.Sprint!$BG$4:$BG$40,MATCH(E50,Perf.Sprint!$B$4:$B$40,0)),"")</f>
        <v/>
      </c>
      <c r="K50" s="438" t="str">
        <f ca="1">IFERROR(SUM(I50+J50),"")</f>
        <v/>
      </c>
      <c r="L50" s="436" t="str">
        <f ca="1">IF(K50="","",ROUND($J$2/K50,1))</f>
        <v/>
      </c>
      <c r="M50" s="439" t="str">
        <f ca="1">IF(K50="","",(L50*3600)/1000)</f>
        <v/>
      </c>
      <c r="N50" s="474"/>
      <c r="O50" s="441" t="str">
        <f>IFERROR(IF(N50="","",ROUND($J$2/N50,1)),"")</f>
        <v/>
      </c>
      <c r="P50" s="442" t="str">
        <f>IF(O50&lt;&gt;"",(O50*3600)/1000,"")</f>
        <v/>
      </c>
      <c r="Q50" s="469"/>
      <c r="R50" s="444"/>
      <c r="S50" s="445"/>
      <c r="T50" s="445"/>
      <c r="U50" s="446"/>
      <c r="V50" s="447" t="str">
        <f>IF(COUNT(N49:N50)=2,SUM(N49:N50),"")</f>
        <v/>
      </c>
      <c r="W50" s="448" t="str">
        <f ca="1">IF($V50="","",IF(OR(AND(C50="M",F50="F"),AND(C50="F",F50="M")),VLOOKUP($V50,INDIRECT("rel"),1),VLOOKUP($V50,INDIRECT(C50&amp;"rel"),1)))</f>
        <v/>
      </c>
      <c r="X50" s="448" t="str">
        <f ca="1">IFERROR(IF(OR(AND(C50="M",F50="F"),AND(C50="F",F50="M")),INDEX(INDIRECT("rel"),MATCH($V50,INDIRECT("rel"))+1),INDEX(INDIRECT(C50&amp;"rel"),MATCH($V50,INDIRECT(C50&amp;"rel"))+1)),"")</f>
        <v/>
      </c>
      <c r="Y50" s="448" t="str">
        <f ca="1">IF(X50="",W50,IF(V50=W50,W50,X50))</f>
        <v/>
      </c>
      <c r="Z50" s="449" t="str">
        <f ca="1">IF(Y50="","",IF(OR(AND(C50="M",F50="F"),AND(C50="F",F50="M")),VLOOKUP(Y50,relais,3),IF(C50="F",VLOOKUP(Y50,relaisf,7),VLOOKUP(Y50,relaisg,5))))</f>
        <v/>
      </c>
      <c r="AA50" s="450" t="str">
        <f t="shared" ref="AA50" ca="1" si="110">IFERROR(AVERAGE(Z49,Z50),"")</f>
        <v/>
      </c>
      <c r="AB50" s="472" t="str">
        <f>IFERROR(IF(COUNT($N50)=1,($N50/K50)-1,""),"")</f>
        <v/>
      </c>
      <c r="AC50" s="452" t="str">
        <f>IF($AB50&lt;&gt;"",INDEX(Barème!$AI$3:$AI$28,MATCH($AB50,Barème!$AH$3:$AH$28,-1)),"")</f>
        <v/>
      </c>
      <c r="AD50" s="450" t="str">
        <f t="shared" ref="AD50" si="111">IF(COUNT(AC49:AC50)&gt;1,AVERAGE(AC49,AC50),"")</f>
        <v/>
      </c>
      <c r="AE50" s="453" t="str">
        <f t="shared" si="0"/>
        <v/>
      </c>
      <c r="AF50" s="450" t="str">
        <f t="shared" ref="AF50" si="112">IFERROR(AVERAGE(AE50,AE49),"")</f>
        <v/>
      </c>
      <c r="AG50" s="432" t="str">
        <f>IF(COUNTA(R50:S50)=2,COUNTIF(R50:S50,"OUI"),"")</f>
        <v/>
      </c>
      <c r="AH50" s="433" t="str">
        <f>IF(COUNTA(U50)=1,COUNTIF(U50,"OUI"),"")</f>
        <v/>
      </c>
      <c r="AI50" s="434" t="str">
        <f>IF(COUNTA(S50:T50)=2,COUNTIF(S50:T50,"OUI"),"")</f>
        <v/>
      </c>
      <c r="AJ50" s="450" t="str">
        <f t="shared" ref="AJ50" si="113">IF(COUNT(AG50:AH50,AI49)=3,MROUND(SUM(AG50,AH50,AI49),0.25),"")</f>
        <v/>
      </c>
      <c r="AK50" s="450" t="str">
        <f t="shared" si="109"/>
        <v/>
      </c>
    </row>
    <row r="51" spans="1:37" ht="15.75" thickBot="1">
      <c r="A51" s="330">
        <v>17</v>
      </c>
      <c r="B51" s="394" t="s">
        <v>176</v>
      </c>
      <c r="C51" s="395" t="s">
        <v>134</v>
      </c>
      <c r="D51" s="396"/>
      <c r="E51" s="396" t="s">
        <v>177</v>
      </c>
      <c r="F51" s="396" t="s">
        <v>134</v>
      </c>
      <c r="G51" s="396"/>
      <c r="H51" s="399" t="s">
        <v>187</v>
      </c>
      <c r="I51" s="398">
        <v>51</v>
      </c>
      <c r="J51" s="398">
        <v>25</v>
      </c>
      <c r="K51" s="399" t="s">
        <v>178</v>
      </c>
      <c r="L51" s="400" t="s">
        <v>139</v>
      </c>
      <c r="M51" s="397" t="s">
        <v>140</v>
      </c>
      <c r="N51" s="401" t="s">
        <v>126</v>
      </c>
      <c r="O51" s="400" t="s">
        <v>139</v>
      </c>
      <c r="P51" s="402" t="s">
        <v>140</v>
      </c>
      <c r="Q51" s="403" t="s">
        <v>170</v>
      </c>
      <c r="R51" s="454" t="s">
        <v>180</v>
      </c>
      <c r="S51" s="455" t="s">
        <v>181</v>
      </c>
      <c r="T51" s="455" t="s">
        <v>182</v>
      </c>
      <c r="U51" s="456" t="s">
        <v>183</v>
      </c>
      <c r="V51" s="457"/>
      <c r="W51" s="458"/>
      <c r="X51" s="458"/>
      <c r="Y51" s="458"/>
      <c r="Z51" s="459"/>
      <c r="AA51" s="460"/>
      <c r="AB51" s="470" t="s">
        <v>188</v>
      </c>
      <c r="AC51" s="411"/>
      <c r="AD51" s="462"/>
      <c r="AE51" s="463" t="str">
        <f t="shared" si="0"/>
        <v/>
      </c>
      <c r="AF51" s="460"/>
      <c r="AG51" s="464" t="s">
        <v>180</v>
      </c>
      <c r="AH51" s="464" t="s">
        <v>152</v>
      </c>
      <c r="AI51" s="465" t="s">
        <v>163</v>
      </c>
      <c r="AJ51" s="457"/>
      <c r="AK51" s="462"/>
    </row>
    <row r="52" spans="1:37" ht="24" customHeight="1">
      <c r="A52" s="321" t="s">
        <v>127</v>
      </c>
      <c r="B52" s="466" t="str">
        <f ca="1">IFERROR('Compo.Relais(2)'!$AF20,"")</f>
        <v/>
      </c>
      <c r="C52" s="413" t="str">
        <f ca="1">IF(B52&lt;&gt;"",INDEX(Perf.Sprint!$C$4:$C$41,MATCH(B52,Perf.Sprint!$B$4:$B$41,0)),"")</f>
        <v/>
      </c>
      <c r="D52" s="413" t="s">
        <v>149</v>
      </c>
      <c r="E52" s="413" t="str">
        <f ca="1">IFERROR('Compo.Relais(2)'!$AH20,"")</f>
        <v/>
      </c>
      <c r="F52" s="413" t="str">
        <f ca="1">IF(E52&lt;&gt;"",INDEX(Perf.Sprint!$C$4:$C$41,MATCH(E52,Perf.Sprint!$B$4:$B$41,0)),"")</f>
        <v/>
      </c>
      <c r="G52" s="413" t="str">
        <f ca="1">CONCATENATE(C52,F52)</f>
        <v/>
      </c>
      <c r="H52" s="414"/>
      <c r="I52" s="415" t="str">
        <f ca="1">IF(B52&lt;&gt;0,INDEX(Perf.Sprint!$BJ$4:$BJ$40,MATCH(B52,Perf.Sprint!$B$4:$B$40,0)),"")</f>
        <v/>
      </c>
      <c r="J52" s="415" t="str">
        <f ca="1">IF(E52&lt;&gt;0,INDEX(Perf.Sprint!$BG$4:$BG$40,MATCH(E52,Perf.Sprint!$B$4:$B$40,0)),"")</f>
        <v/>
      </c>
      <c r="K52" s="416" t="str">
        <f ca="1">IFERROR(SUM(I52+J52),"")</f>
        <v/>
      </c>
      <c r="L52" s="413" t="str">
        <f ca="1">IF(K52="","",ROUND($J$2/K52,1))</f>
        <v/>
      </c>
      <c r="M52" s="417" t="str">
        <f ca="1">IF(K52="","",(L52*3600)/1000)</f>
        <v/>
      </c>
      <c r="N52" s="418"/>
      <c r="O52" s="419" t="str">
        <f>IFERROR(IF(N52="","",ROUND($J$2/N52,1)),"")</f>
        <v/>
      </c>
      <c r="P52" s="420" t="str">
        <f>IF(O52&lt;&gt;"",(O52*3600)/1000,"")</f>
        <v/>
      </c>
      <c r="Q52" s="467"/>
      <c r="R52" s="422"/>
      <c r="S52" s="423"/>
      <c r="T52" s="423"/>
      <c r="U52" s="424"/>
      <c r="V52" s="425" t="str">
        <f>IF(COUNT(N52:N53)=2,SUM(N52:N53),"")</f>
        <v/>
      </c>
      <c r="W52" s="426" t="str">
        <f ca="1">IF($V52="","",IF(OR(AND(C52="M",F52="F"),AND(C52="F",F52="M")),VLOOKUP($V52,INDIRECT("rel"),1),VLOOKUP($V52,INDIRECT(C52&amp;"rel"),1)))</f>
        <v/>
      </c>
      <c r="X52" s="426" t="str">
        <f ca="1">IFERROR(IF(OR(AND(C52="M",F52="F"),AND(C52="F",F52="M")),INDEX(INDIRECT("rel"),MATCH($V52,INDIRECT("rel"))+1),INDEX(INDIRECT(C52&amp;"rel"),MATCH($V52,INDIRECT(C52&amp;"rel"))+1)),"")</f>
        <v/>
      </c>
      <c r="Y52" s="426" t="str">
        <f ca="1">IF(X52="",W52,IF(V52=W52,W52,X52))</f>
        <v/>
      </c>
      <c r="Z52" s="427" t="str">
        <f ca="1">IF(Y52="","",IF(OR(AND(C52="M",F52="F"),AND(C52="F",F52="M")),VLOOKUP(Y52,relais,3),IF(C52="F",VLOOKUP(Y52,relaisf,7),VLOOKUP(Y52,relaisg,5))))</f>
        <v/>
      </c>
      <c r="AA52" s="428" t="str">
        <f t="shared" ref="AA52" ca="1" si="114">IFERROR(AVERAGE(Z52,Z53),"")</f>
        <v/>
      </c>
      <c r="AB52" s="471" t="str">
        <f>IFERROR(IF(COUNT($N52)=1,($N52/K52)-1,""),"")</f>
        <v/>
      </c>
      <c r="AC52" s="430" t="str">
        <f>IF($AB52&lt;&gt;"",INDEX(Barème!$AI$3:$AI$28,MATCH($AB52,Barème!$AH$3:$AH$28,-1)),"")</f>
        <v/>
      </c>
      <c r="AD52" s="428" t="str">
        <f t="shared" ref="AD52" si="115">IF(COUNT(AC52:AC53)&gt;1,AVERAGE(AC52,AC53),"")</f>
        <v/>
      </c>
      <c r="AE52" s="431" t="str">
        <f t="shared" si="0"/>
        <v/>
      </c>
      <c r="AF52" s="428" t="str">
        <f t="shared" ref="AF52" si="116">IFERROR(AVERAGE(AE52:AE53),"")</f>
        <v/>
      </c>
      <c r="AG52" s="432" t="str">
        <f>IF(COUNTA(R52:S52)=2,COUNTIF(R52:S52,"OUI"),"")</f>
        <v/>
      </c>
      <c r="AH52" s="433" t="str">
        <f>IF(COUNTA(U52)=1,COUNTIF(U52,"OUI"),"")</f>
        <v/>
      </c>
      <c r="AI52" s="434" t="str">
        <f>IF(COUNTA(S52:T52)=2,COUNTIF(S52:T52,"OUI"),"")</f>
        <v/>
      </c>
      <c r="AJ52" s="428" t="str">
        <f>IF(COUNT(AG52:AH52,AI53)=3,MROUND(SUM(AG52,AH52,AI53),0.25),"")</f>
        <v/>
      </c>
      <c r="AK52" s="428" t="str">
        <f t="shared" ref="AK52:AK53" si="117">IFERROR((AF52/4)*3+(AJ52/5)*3,"")</f>
        <v/>
      </c>
    </row>
    <row r="53" spans="1:37" ht="24" customHeight="1" thickBot="1">
      <c r="A53" s="321" t="s">
        <v>128</v>
      </c>
      <c r="B53" s="468" t="str">
        <f ca="1">E52</f>
        <v/>
      </c>
      <c r="C53" s="436" t="str">
        <f ca="1">IF(B53&lt;&gt;"",INDEX(Perf.Sprint!$C$4:$C$41,MATCH(B53,Perf.Sprint!$B$4:$B$41,0)),"")</f>
        <v/>
      </c>
      <c r="D53" s="436" t="s">
        <v>149</v>
      </c>
      <c r="E53" s="436" t="str">
        <f ca="1">B52</f>
        <v/>
      </c>
      <c r="F53" s="436" t="str">
        <f ca="1">IF(E53&lt;&gt;"",INDEX(Perf.Sprint!$C$4:$C$41,MATCH(E53,Perf.Sprint!$B$4:$B$41,0)),"")</f>
        <v/>
      </c>
      <c r="G53" s="436" t="str">
        <f ca="1">CONCATENATE(F53,C53)</f>
        <v/>
      </c>
      <c r="H53" s="437"/>
      <c r="I53" s="438" t="str">
        <f ca="1">IF(B53&lt;&gt;0,INDEX(Perf.Sprint!$BJ$4:$BJ$40,MATCH(B53,Perf.Sprint!$B$4:$B$40,0)),"")</f>
        <v/>
      </c>
      <c r="J53" s="438" t="str">
        <f ca="1">IF(E53&lt;&gt;0,INDEX(Perf.Sprint!$BG$4:$BG$40,MATCH(E53,Perf.Sprint!$B$4:$B$40,0)),"")</f>
        <v/>
      </c>
      <c r="K53" s="438" t="str">
        <f ca="1">IFERROR(SUM(I53+J53),"")</f>
        <v/>
      </c>
      <c r="L53" s="436" t="str">
        <f ca="1">IF(K53="","",ROUND($J$2/K53,1))</f>
        <v/>
      </c>
      <c r="M53" s="439" t="str">
        <f ca="1">IF(K53="","",(L53*3600)/1000)</f>
        <v/>
      </c>
      <c r="N53" s="440"/>
      <c r="O53" s="441" t="str">
        <f>IFERROR(IF(N53="","",ROUND($J$2/N53,1)),"")</f>
        <v/>
      </c>
      <c r="P53" s="442" t="str">
        <f>IF(O53&lt;&gt;"",(O53*3600)/1000,"")</f>
        <v/>
      </c>
      <c r="Q53" s="469"/>
      <c r="R53" s="444"/>
      <c r="S53" s="445"/>
      <c r="T53" s="445"/>
      <c r="U53" s="446"/>
      <c r="V53" s="447" t="str">
        <f>IF(COUNT(N52:N53)=2,SUM(N52:N53),"")</f>
        <v/>
      </c>
      <c r="W53" s="448" t="str">
        <f ca="1">IF($V53="","",IF(OR(AND(C53="M",F53="F"),AND(C53="F",F53="M")),VLOOKUP($V53,INDIRECT("rel"),1),VLOOKUP($V53,INDIRECT(C53&amp;"rel"),1)))</f>
        <v/>
      </c>
      <c r="X53" s="448" t="str">
        <f ca="1">IFERROR(IF(OR(AND(C53="M",F53="F"),AND(C53="F",F53="M")),INDEX(INDIRECT("rel"),MATCH($V53,INDIRECT("rel"))+1),INDEX(INDIRECT(C53&amp;"rel"),MATCH($V53,INDIRECT(C53&amp;"rel"))+1)),"")</f>
        <v/>
      </c>
      <c r="Y53" s="448" t="str">
        <f ca="1">IF(X53="",W53,IF(V53=W53,W53,X53))</f>
        <v/>
      </c>
      <c r="Z53" s="449" t="str">
        <f ca="1">IF(Y53="","",IF(OR(AND(C53="M",F53="F"),AND(C53="F",F53="M")),VLOOKUP(Y53,relais,3),IF(C53="F",VLOOKUP(Y53,relaisf,7),VLOOKUP(Y53,relaisg,5))))</f>
        <v/>
      </c>
      <c r="AA53" s="450" t="str">
        <f t="shared" ref="AA53" ca="1" si="118">IFERROR(AVERAGE(Z52,Z53),"")</f>
        <v/>
      </c>
      <c r="AB53" s="472" t="str">
        <f>IFERROR(IF(COUNT($N53)=1,($N53/K53)-1,""),"")</f>
        <v/>
      </c>
      <c r="AC53" s="452" t="str">
        <f>IF($AB53&lt;&gt;"",INDEX(Barème!$AI$3:$AI$28,MATCH($AB53,Barème!$AH$3:$AH$28,-1)),"")</f>
        <v/>
      </c>
      <c r="AD53" s="450" t="str">
        <f t="shared" ref="AD53" si="119">IF(COUNT(AC52:AC53)&gt;1,AVERAGE(AC52,AC53),"")</f>
        <v/>
      </c>
      <c r="AE53" s="453" t="str">
        <f t="shared" si="0"/>
        <v/>
      </c>
      <c r="AF53" s="450" t="str">
        <f t="shared" ref="AF53" si="120">IFERROR(AVERAGE(AE53,AE52),"")</f>
        <v/>
      </c>
      <c r="AG53" s="432" t="str">
        <f>IF(COUNTA(R53:S53)=2,COUNTIF(R53:S53,"OUI"),"")</f>
        <v/>
      </c>
      <c r="AH53" s="433" t="str">
        <f>IF(COUNTA(U53)=1,COUNTIF(U53,"OUI"),"")</f>
        <v/>
      </c>
      <c r="AI53" s="434" t="str">
        <f>IF(COUNTA(S53:T53)=2,COUNTIF(S53:T53,"OUI"),"")</f>
        <v/>
      </c>
      <c r="AJ53" s="450" t="str">
        <f t="shared" ref="AJ53" si="121">IF(COUNT(AG53:AH53,AI52)=3,MROUND(SUM(AG53,AH53,AI52),0.25),"")</f>
        <v/>
      </c>
      <c r="AK53" s="450" t="str">
        <f t="shared" si="117"/>
        <v/>
      </c>
    </row>
    <row r="54" spans="1:37" ht="15.75" thickBot="1">
      <c r="A54" s="330">
        <v>18</v>
      </c>
      <c r="B54" s="394" t="s">
        <v>176</v>
      </c>
      <c r="C54" s="395" t="s">
        <v>134</v>
      </c>
      <c r="D54" s="396"/>
      <c r="E54" s="396" t="s">
        <v>177</v>
      </c>
      <c r="F54" s="396" t="s">
        <v>134</v>
      </c>
      <c r="G54" s="396"/>
      <c r="H54" s="399" t="s">
        <v>187</v>
      </c>
      <c r="I54" s="398">
        <v>52</v>
      </c>
      <c r="J54" s="398">
        <v>25</v>
      </c>
      <c r="K54" s="399" t="s">
        <v>178</v>
      </c>
      <c r="L54" s="400" t="s">
        <v>139</v>
      </c>
      <c r="M54" s="397" t="s">
        <v>140</v>
      </c>
      <c r="N54" s="401" t="s">
        <v>126</v>
      </c>
      <c r="O54" s="400" t="s">
        <v>139</v>
      </c>
      <c r="P54" s="402" t="s">
        <v>140</v>
      </c>
      <c r="Q54" s="403" t="s">
        <v>170</v>
      </c>
      <c r="R54" s="454" t="s">
        <v>180</v>
      </c>
      <c r="S54" s="455" t="s">
        <v>181</v>
      </c>
      <c r="T54" s="455" t="s">
        <v>182</v>
      </c>
      <c r="U54" s="456" t="s">
        <v>183</v>
      </c>
      <c r="V54" s="457"/>
      <c r="W54" s="458"/>
      <c r="X54" s="458"/>
      <c r="Y54" s="458"/>
      <c r="Z54" s="459"/>
      <c r="AA54" s="460"/>
      <c r="AB54" s="470" t="s">
        <v>188</v>
      </c>
      <c r="AC54" s="411"/>
      <c r="AD54" s="462"/>
      <c r="AE54" s="463" t="str">
        <f t="shared" si="0"/>
        <v/>
      </c>
      <c r="AF54" s="460"/>
      <c r="AG54" s="464" t="s">
        <v>180</v>
      </c>
      <c r="AH54" s="464" t="s">
        <v>152</v>
      </c>
      <c r="AI54" s="465" t="s">
        <v>163</v>
      </c>
      <c r="AJ54" s="457"/>
      <c r="AK54" s="462"/>
    </row>
    <row r="55" spans="1:37" ht="24" customHeight="1">
      <c r="A55" s="321" t="s">
        <v>127</v>
      </c>
      <c r="B55" s="466" t="str">
        <f ca="1">IFERROR('Compo.Relais(2)'!$AF21,"")</f>
        <v/>
      </c>
      <c r="C55" s="413" t="str">
        <f ca="1">IF(B55&lt;&gt;"",INDEX(Perf.Sprint!$C$4:$C$41,MATCH(B55,Perf.Sprint!$B$4:$B$41,0)),"")</f>
        <v/>
      </c>
      <c r="D55" s="413" t="s">
        <v>149</v>
      </c>
      <c r="E55" s="413" t="str">
        <f ca="1">IFERROR('Compo.Relais(2)'!$AH21,"")</f>
        <v/>
      </c>
      <c r="F55" s="413" t="str">
        <f ca="1">IF(E55&lt;&gt;"",INDEX(Perf.Sprint!$C$4:$C$41,MATCH(E55,Perf.Sprint!$B$4:$B$41,0)),"")</f>
        <v/>
      </c>
      <c r="G55" s="413" t="str">
        <f ca="1">CONCATENATE(C55,F55)</f>
        <v/>
      </c>
      <c r="H55" s="414"/>
      <c r="I55" s="415" t="str">
        <f ca="1">IF(B55&lt;&gt;0,INDEX(Perf.Sprint!$BJ$4:$BJ$40,MATCH(B55,Perf.Sprint!$B$4:$B$40,0)),"")</f>
        <v/>
      </c>
      <c r="J55" s="415" t="str">
        <f ca="1">IF(E55&lt;&gt;0,INDEX(Perf.Sprint!$BG$4:$BG$40,MATCH(E55,Perf.Sprint!$B$4:$B$40,0)),"")</f>
        <v/>
      </c>
      <c r="K55" s="416" t="str">
        <f ca="1">IFERROR(SUM(I55+J55),"")</f>
        <v/>
      </c>
      <c r="L55" s="413" t="str">
        <f ca="1">IF(K55="","",ROUND($J$2/K55,1))</f>
        <v/>
      </c>
      <c r="M55" s="417" t="str">
        <f t="shared" ref="M55:M56" ca="1" si="122">IF(K55="","",(L55*3600)/1000)</f>
        <v/>
      </c>
      <c r="N55" s="418"/>
      <c r="O55" s="419" t="str">
        <f>IFERROR(IF(N55="","",ROUND($J$2/N55,1)),"")</f>
        <v/>
      </c>
      <c r="P55" s="420" t="str">
        <f>IF(O55&lt;&gt;"",(O55*3600)/1000,"")</f>
        <v/>
      </c>
      <c r="Q55" s="467"/>
      <c r="R55" s="422"/>
      <c r="S55" s="423"/>
      <c r="T55" s="423"/>
      <c r="U55" s="424"/>
      <c r="V55" s="425" t="str">
        <f>IF(COUNT(N55:N56)=2,SUM(N55:N56),"")</f>
        <v/>
      </c>
      <c r="W55" s="426" t="str">
        <f ca="1">IF($V55="","",IF(OR(AND(C55="M",F55="F"),AND(C55="F",F55="M")),VLOOKUP($V55,INDIRECT("rel"),1),VLOOKUP($V55,INDIRECT(C55&amp;"rel"),1)))</f>
        <v/>
      </c>
      <c r="X55" s="426" t="str">
        <f ca="1">IFERROR(IF(OR(AND(C55="M",F55="F"),AND(C55="F",F55="M")),INDEX(INDIRECT("rel"),MATCH($V55,INDIRECT("rel"))+1),INDEX(INDIRECT(C55&amp;"rel"),MATCH($V55,INDIRECT(C55&amp;"rel"))+1)),"")</f>
        <v/>
      </c>
      <c r="Y55" s="426" t="str">
        <f ca="1">IF(X55="",W55,IF(V55=W55,W55,X55))</f>
        <v/>
      </c>
      <c r="Z55" s="427" t="str">
        <f ca="1">IF(Y55="","",IF(OR(AND(C55="M",F55="F"),AND(C55="F",F55="M")),VLOOKUP(Y55,relais,3),IF(C55="F",VLOOKUP(Y55,relaisf,7),VLOOKUP(Y55,relaisg,5))))</f>
        <v/>
      </c>
      <c r="AA55" s="428" t="str">
        <f t="shared" ref="AA55" ca="1" si="123">IFERROR(AVERAGE(Z55,Z56),"")</f>
        <v/>
      </c>
      <c r="AB55" s="471" t="str">
        <f>IFERROR(IF(COUNT($N55)=1,($N55/K55)-1,""),"")</f>
        <v/>
      </c>
      <c r="AC55" s="430" t="str">
        <f>IF($AB55&lt;&gt;"",INDEX(Barème!$AI$3:$AI$28,MATCH($AB55,Barème!$AH$3:$AH$28,-1)),"")</f>
        <v/>
      </c>
      <c r="AD55" s="428" t="str">
        <f t="shared" ref="AD55" si="124">IF(COUNT(AC55:AC56)&gt;1,AVERAGE(AC55,AC56),"")</f>
        <v/>
      </c>
      <c r="AE55" s="431" t="str">
        <f t="shared" si="0"/>
        <v/>
      </c>
      <c r="AF55" s="428" t="str">
        <f t="shared" ref="AF55" si="125">IFERROR(AVERAGE(AE55:AE56),"")</f>
        <v/>
      </c>
      <c r="AG55" s="432" t="str">
        <f>IF(COUNTA(R55:S55)=2,COUNTIF(R55:S55,"OUI"),"")</f>
        <v/>
      </c>
      <c r="AH55" s="433" t="str">
        <f>IF(COUNTA(U55)=1,COUNTIF(U55,"OUI"),"")</f>
        <v/>
      </c>
      <c r="AI55" s="434" t="str">
        <f>IF(COUNTA(S55:T55)=2,COUNTIF(S55:T55,"OUI"),"")</f>
        <v/>
      </c>
      <c r="AJ55" s="428" t="str">
        <f>IF(COUNT(AG55:AH55,AI56)=3,MROUND(SUM(AG55,AH55,AI56),0.25),"")</f>
        <v/>
      </c>
      <c r="AK55" s="428" t="str">
        <f t="shared" ref="AK55:AK56" si="126">IFERROR((AF55/4)*3+(AJ55/5)*3,"")</f>
        <v/>
      </c>
    </row>
    <row r="56" spans="1:37" ht="24" customHeight="1" thickBot="1">
      <c r="A56" s="321" t="s">
        <v>128</v>
      </c>
      <c r="B56" s="468" t="str">
        <f ca="1">E55</f>
        <v/>
      </c>
      <c r="C56" s="436" t="str">
        <f ca="1">IF(B56&lt;&gt;"",INDEX(Perf.Sprint!$C$4:$C$41,MATCH(B56,Perf.Sprint!$B$4:$B$41,0)),"")</f>
        <v/>
      </c>
      <c r="D56" s="436" t="s">
        <v>149</v>
      </c>
      <c r="E56" s="436" t="str">
        <f ca="1">B55</f>
        <v/>
      </c>
      <c r="F56" s="436" t="str">
        <f ca="1">IF(E56&lt;&gt;"",INDEX(Perf.Sprint!$C$4:$C$41,MATCH(E56,Perf.Sprint!$B$4:$B$41,0)),"")</f>
        <v/>
      </c>
      <c r="G56" s="436" t="str">
        <f ca="1">CONCATENATE(F56,C56)</f>
        <v/>
      </c>
      <c r="H56" s="437"/>
      <c r="I56" s="438" t="str">
        <f ca="1">IF(B56&lt;&gt;0,INDEX(Perf.Sprint!$BJ$4:$BJ$40,MATCH(B56,Perf.Sprint!$B$4:$B$40,0)),"")</f>
        <v/>
      </c>
      <c r="J56" s="438" t="str">
        <f ca="1">IF(E56&lt;&gt;0,INDEX(Perf.Sprint!$BG$4:$BG$40,MATCH(E56,Perf.Sprint!$B$4:$B$40,0)),"")</f>
        <v/>
      </c>
      <c r="K56" s="438" t="str">
        <f ca="1">IFERROR(SUM(I56+J56),"")</f>
        <v/>
      </c>
      <c r="L56" s="436" t="str">
        <f ca="1">IF(K56="","",ROUND($J$2/K56,1))</f>
        <v/>
      </c>
      <c r="M56" s="439" t="str">
        <f t="shared" ca="1" si="122"/>
        <v/>
      </c>
      <c r="N56" s="440"/>
      <c r="O56" s="441" t="str">
        <f>IFERROR(IF(N56="","",ROUND($J$2/N56,1)),"")</f>
        <v/>
      </c>
      <c r="P56" s="442" t="str">
        <f>IF(O56&lt;&gt;"",(O56*3600)/1000,"")</f>
        <v/>
      </c>
      <c r="Q56" s="469"/>
      <c r="R56" s="444"/>
      <c r="S56" s="445"/>
      <c r="T56" s="445"/>
      <c r="U56" s="446"/>
      <c r="V56" s="447" t="str">
        <f>IF(COUNT(N55:N56)=2,SUM(N55:N56),"")</f>
        <v/>
      </c>
      <c r="W56" s="448" t="str">
        <f ca="1">IF($V56="","",IF(OR(AND(C56="M",F56="F"),AND(C56="F",F56="M")),VLOOKUP($V56,INDIRECT("rel"),1),VLOOKUP($V56,INDIRECT(C56&amp;"rel"),1)))</f>
        <v/>
      </c>
      <c r="X56" s="448" t="str">
        <f ca="1">IFERROR(IF(OR(AND(C56="M",F56="F"),AND(C56="F",F56="M")),INDEX(INDIRECT("rel"),MATCH($V56,INDIRECT("rel"))+1),INDEX(INDIRECT(C56&amp;"rel"),MATCH($V56,INDIRECT(C56&amp;"rel"))+1)),"")</f>
        <v/>
      </c>
      <c r="Y56" s="448" t="str">
        <f ca="1">IF(X56="",W56,IF(V56=W56,W56,X56))</f>
        <v/>
      </c>
      <c r="Z56" s="449" t="str">
        <f ca="1">IF(Y56="","",IF(OR(AND(C56="M",F56="F"),AND(C56="F",F56="M")),VLOOKUP(Y56,relais,3),IF(C56="F",VLOOKUP(Y56,relaisf,7),VLOOKUP(Y56,relaisg,5))))</f>
        <v/>
      </c>
      <c r="AA56" s="450" t="str">
        <f t="shared" ref="AA56" ca="1" si="127">IFERROR(AVERAGE(Z55,Z56),"")</f>
        <v/>
      </c>
      <c r="AB56" s="472" t="str">
        <f>IFERROR(IF(COUNT($N56)=1,($N56/K56)-1,""),"")</f>
        <v/>
      </c>
      <c r="AC56" s="452" t="str">
        <f>IF($AB56&lt;&gt;"",INDEX(Barème!$AI$3:$AI$28,MATCH($AB56,Barème!$AH$3:$AH$28,-1)),"")</f>
        <v/>
      </c>
      <c r="AD56" s="450" t="str">
        <f t="shared" ref="AD56" si="128">IF(COUNT(AC55:AC56)&gt;1,AVERAGE(AC55,AC56),"")</f>
        <v/>
      </c>
      <c r="AE56" s="453" t="str">
        <f t="shared" si="0"/>
        <v/>
      </c>
      <c r="AF56" s="450" t="str">
        <f t="shared" ref="AF56" si="129">IFERROR(AVERAGE(AE56,AE55),"")</f>
        <v/>
      </c>
      <c r="AG56" s="432" t="str">
        <f>IF(COUNTA(R56:S56)=2,COUNTIF(R56:S56,"OUI"),"")</f>
        <v/>
      </c>
      <c r="AH56" s="433" t="str">
        <f>IF(COUNTA(U56)=1,COUNTIF(U56,"OUI"),"")</f>
        <v/>
      </c>
      <c r="AI56" s="434" t="str">
        <f>IF(COUNTA(S56:T56)=2,COUNTIF(S56:T56,"OUI"),"")</f>
        <v/>
      </c>
      <c r="AJ56" s="450" t="str">
        <f t="shared" ref="AJ56" si="130">IF(COUNT(AG56:AH56,AI55)=3,MROUND(SUM(AG56,AH56,AI55),0.25),"")</f>
        <v/>
      </c>
      <c r="AK56" s="450" t="str">
        <f t="shared" si="126"/>
        <v/>
      </c>
    </row>
    <row r="57" spans="1:37" ht="15.75" thickBot="1">
      <c r="A57" s="330">
        <v>19</v>
      </c>
      <c r="B57" s="394" t="s">
        <v>176</v>
      </c>
      <c r="C57" s="395" t="s">
        <v>134</v>
      </c>
      <c r="D57" s="396"/>
      <c r="E57" s="396" t="s">
        <v>177</v>
      </c>
      <c r="F57" s="396" t="s">
        <v>134</v>
      </c>
      <c r="G57" s="396"/>
      <c r="H57" s="399" t="s">
        <v>187</v>
      </c>
      <c r="I57" s="398">
        <v>53</v>
      </c>
      <c r="J57" s="398">
        <v>25</v>
      </c>
      <c r="K57" s="399" t="s">
        <v>178</v>
      </c>
      <c r="L57" s="400" t="s">
        <v>139</v>
      </c>
      <c r="M57" s="397" t="s">
        <v>140</v>
      </c>
      <c r="N57" s="401" t="s">
        <v>126</v>
      </c>
      <c r="O57" s="400" t="s">
        <v>139</v>
      </c>
      <c r="P57" s="402" t="s">
        <v>140</v>
      </c>
      <c r="Q57" s="403" t="s">
        <v>170</v>
      </c>
      <c r="R57" s="454" t="s">
        <v>180</v>
      </c>
      <c r="S57" s="455" t="s">
        <v>181</v>
      </c>
      <c r="T57" s="455" t="s">
        <v>182</v>
      </c>
      <c r="U57" s="456" t="s">
        <v>183</v>
      </c>
      <c r="V57" s="457"/>
      <c r="W57" s="458"/>
      <c r="X57" s="458"/>
      <c r="Y57" s="458"/>
      <c r="Z57" s="459"/>
      <c r="AA57" s="460"/>
      <c r="AB57" s="470" t="s">
        <v>188</v>
      </c>
      <c r="AC57" s="411"/>
      <c r="AD57" s="462"/>
      <c r="AE57" s="463" t="str">
        <f t="shared" si="0"/>
        <v/>
      </c>
      <c r="AF57" s="460"/>
      <c r="AG57" s="464" t="s">
        <v>180</v>
      </c>
      <c r="AH57" s="464" t="s">
        <v>152</v>
      </c>
      <c r="AI57" s="465" t="s">
        <v>163</v>
      </c>
      <c r="AJ57" s="457"/>
      <c r="AK57" s="462"/>
    </row>
    <row r="58" spans="1:37" ht="24" customHeight="1">
      <c r="A58" s="321" t="s">
        <v>127</v>
      </c>
      <c r="B58" s="466" t="str">
        <f ca="1">IFERROR('Compo.Relais(2)'!$AF22,"")</f>
        <v/>
      </c>
      <c r="C58" s="413" t="str">
        <f ca="1">IF(B58&lt;&gt;"",INDEX(Perf.Sprint!$C$4:$C$41,MATCH(B58,Perf.Sprint!$B$4:$B$41,0)),"")</f>
        <v/>
      </c>
      <c r="D58" s="413" t="s">
        <v>149</v>
      </c>
      <c r="E58" s="413" t="str">
        <f ca="1">IFERROR('Compo.Relais(2)'!$AH22,"")</f>
        <v/>
      </c>
      <c r="F58" s="413" t="str">
        <f ca="1">IF(E58&lt;&gt;"",INDEX(Perf.Sprint!$C$4:$C$41,MATCH(E58,Perf.Sprint!$B$4:$B$41,0)),"")</f>
        <v/>
      </c>
      <c r="G58" s="413" t="str">
        <f ca="1">CONCATENATE(C58,F58)</f>
        <v/>
      </c>
      <c r="H58" s="414"/>
      <c r="I58" s="415" t="str">
        <f ca="1">IF(B58&lt;&gt;0,INDEX(Perf.Sprint!$BJ$4:$BJ$40,MATCH(B58,Perf.Sprint!$B$4:$B$40,0)),"")</f>
        <v/>
      </c>
      <c r="J58" s="415" t="str">
        <f ca="1">IF(E58&lt;&gt;0,INDEX(Perf.Sprint!$BG$4:$BG$40,MATCH(E58,Perf.Sprint!$B$4:$B$40,0)),"")</f>
        <v/>
      </c>
      <c r="K58" s="416" t="str">
        <f ca="1">IFERROR(SUM(I58+J58),"")</f>
        <v/>
      </c>
      <c r="L58" s="413" t="str">
        <f ca="1">IF(K58="","",ROUND($J$2/K58,1))</f>
        <v/>
      </c>
      <c r="M58" s="417" t="str">
        <f t="shared" ref="M58:M59" ca="1" si="131">IF(K58="","",(L58*3600)/1000)</f>
        <v/>
      </c>
      <c r="N58" s="418"/>
      <c r="O58" s="419" t="str">
        <f>IFERROR(IF(N58="","",ROUND($J$2/N58,1)),"")</f>
        <v/>
      </c>
      <c r="P58" s="420" t="str">
        <f>IF(O58&lt;&gt;"",(O58*3600)/1000,"")</f>
        <v/>
      </c>
      <c r="Q58" s="467"/>
      <c r="R58" s="422"/>
      <c r="S58" s="423"/>
      <c r="T58" s="423"/>
      <c r="U58" s="424"/>
      <c r="V58" s="425" t="str">
        <f>IF(COUNT(N58:N59)=2,SUM(N58:N59),"")</f>
        <v/>
      </c>
      <c r="W58" s="426" t="str">
        <f ca="1">IF($V58="","",IF(OR(AND(C58="M",F58="F"),AND(C58="F",F58="M")),VLOOKUP($V58,INDIRECT("rel"),1),VLOOKUP($V58,INDIRECT(C58&amp;"rel"),1)))</f>
        <v/>
      </c>
      <c r="X58" s="426" t="str">
        <f ca="1">IFERROR(IF(OR(AND(C58="M",F58="F"),AND(C58="F",F58="M")),INDEX(INDIRECT("rel"),MATCH($V58,INDIRECT("rel"))+1),INDEX(INDIRECT(C58&amp;"rel"),MATCH($V58,INDIRECT(C58&amp;"rel"))+1)),"")</f>
        <v/>
      </c>
      <c r="Y58" s="426" t="str">
        <f ca="1">IF(X58="",W58,IF(V58=W58,W58,X58))</f>
        <v/>
      </c>
      <c r="Z58" s="427" t="str">
        <f ca="1">IF(Y58="","",IF(OR(AND(C58="M",F58="F"),AND(C58="F",F58="M")),VLOOKUP(Y58,relais,3),IF(C58="F",VLOOKUP(Y58,relaisf,7),VLOOKUP(Y58,relaisg,5))))</f>
        <v/>
      </c>
      <c r="AA58" s="428" t="str">
        <f t="shared" ref="AA58" ca="1" si="132">IFERROR(AVERAGE(Z58,Z59),"")</f>
        <v/>
      </c>
      <c r="AB58" s="471" t="str">
        <f>IFERROR(IF(COUNT($N58)=1,($N58/K58)-1,""),"")</f>
        <v/>
      </c>
      <c r="AC58" s="430" t="str">
        <f>IF($AB58&lt;&gt;"",INDEX(Barème!$AI$3:$AI$28,MATCH($AB58,Barème!$AH$3:$AH$28,-1)),"")</f>
        <v/>
      </c>
      <c r="AD58" s="428" t="str">
        <f t="shared" ref="AD58" si="133">IF(COUNT(AC58:AC59)&gt;1,AVERAGE(AC58,AC59),"")</f>
        <v/>
      </c>
      <c r="AE58" s="431" t="str">
        <f t="shared" si="0"/>
        <v/>
      </c>
      <c r="AF58" s="428" t="str">
        <f t="shared" ref="AF58" si="134">IFERROR(AVERAGE(AE58:AE59),"")</f>
        <v/>
      </c>
      <c r="AG58" s="432" t="str">
        <f>IF(COUNTA(R58:S58)=2,COUNTIF(R58:S58,"OUI"),"")</f>
        <v/>
      </c>
      <c r="AH58" s="433" t="str">
        <f>IF(COUNTA(U58)=1,COUNTIF(U58,"OUI"),"")</f>
        <v/>
      </c>
      <c r="AI58" s="434" t="str">
        <f>IF(COUNTA(S58:T58)=2,COUNTIF(S58:T58,"OUI"),"")</f>
        <v/>
      </c>
      <c r="AJ58" s="428" t="str">
        <f>IF(COUNT(AG58:AH58,AI59)=3,MROUND(SUM(AG58,AH58,AI59),0.25),"")</f>
        <v/>
      </c>
      <c r="AK58" s="428" t="str">
        <f t="shared" ref="AK58:AK59" si="135">IFERROR((AF58/4)*3+(AJ58/5)*3,"")</f>
        <v/>
      </c>
    </row>
    <row r="59" spans="1:37" ht="24" customHeight="1" thickBot="1">
      <c r="A59" s="321" t="s">
        <v>128</v>
      </c>
      <c r="B59" s="468" t="str">
        <f ca="1">E58</f>
        <v/>
      </c>
      <c r="C59" s="436" t="str">
        <f ca="1">IF(B59&lt;&gt;"",INDEX(Perf.Sprint!$C$4:$C$41,MATCH(B59,Perf.Sprint!$B$4:$B$41,0)),"")</f>
        <v/>
      </c>
      <c r="D59" s="436" t="s">
        <v>149</v>
      </c>
      <c r="E59" s="436" t="str">
        <f ca="1">B58</f>
        <v/>
      </c>
      <c r="F59" s="436" t="str">
        <f ca="1">IF(E59&lt;&gt;"",INDEX(Perf.Sprint!$C$4:$C$41,MATCH(E59,Perf.Sprint!$B$4:$B$41,0)),"")</f>
        <v/>
      </c>
      <c r="G59" s="436" t="str">
        <f ca="1">CONCATENATE(F59,C59)</f>
        <v/>
      </c>
      <c r="H59" s="437"/>
      <c r="I59" s="438" t="str">
        <f ca="1">IF(B59&lt;&gt;0,INDEX(Perf.Sprint!$BJ$4:$BJ$40,MATCH(B59,Perf.Sprint!$B$4:$B$40,0)),"")</f>
        <v/>
      </c>
      <c r="J59" s="438" t="str">
        <f ca="1">IF(E59&lt;&gt;0,INDEX(Perf.Sprint!$BG$4:$BG$40,MATCH(E59,Perf.Sprint!$B$4:$B$40,0)),"")</f>
        <v/>
      </c>
      <c r="K59" s="438" t="str">
        <f ca="1">IFERROR(SUM(I59+J59),"")</f>
        <v/>
      </c>
      <c r="L59" s="436" t="str">
        <f ca="1">IF(K59="","",ROUND($J$2/K59,1))</f>
        <v/>
      </c>
      <c r="M59" s="439" t="str">
        <f t="shared" ca="1" si="131"/>
        <v/>
      </c>
      <c r="N59" s="440"/>
      <c r="O59" s="441" t="str">
        <f>IFERROR(IF(N59="","",ROUND($J$2/N59,1)),"")</f>
        <v/>
      </c>
      <c r="P59" s="442" t="str">
        <f>IF(O59&lt;&gt;"",(O59*3600)/1000,"")</f>
        <v/>
      </c>
      <c r="Q59" s="469"/>
      <c r="R59" s="444"/>
      <c r="S59" s="445"/>
      <c r="T59" s="445"/>
      <c r="U59" s="446"/>
      <c r="V59" s="447" t="str">
        <f>IF(COUNT(N58:N59)=2,SUM(N58:N59),"")</f>
        <v/>
      </c>
      <c r="W59" s="448" t="str">
        <f ca="1">IF($V59="","",IF(OR(AND(C59="M",F59="F"),AND(C59="F",F59="M")),VLOOKUP($V59,INDIRECT("rel"),1),VLOOKUP($V59,INDIRECT(C59&amp;"rel"),1)))</f>
        <v/>
      </c>
      <c r="X59" s="448" t="str">
        <f ca="1">IFERROR(IF(OR(AND(C59="M",F59="F"),AND(C59="F",F59="M")),INDEX(INDIRECT("rel"),MATCH($V59,INDIRECT("rel"))+1),INDEX(INDIRECT(C59&amp;"rel"),MATCH($V59,INDIRECT(C59&amp;"rel"))+1)),"")</f>
        <v/>
      </c>
      <c r="Y59" s="448" t="str">
        <f ca="1">IF(X59="",W59,IF(V59=W59,W59,X59))</f>
        <v/>
      </c>
      <c r="Z59" s="449" t="str">
        <f ca="1">IF(Y59="","",IF(OR(AND(C59="M",F59="F"),AND(C59="F",F59="M")),VLOOKUP(Y59,relais,3),IF(C59="F",VLOOKUP(Y59,relaisf,7),VLOOKUP(Y59,relaisg,5))))</f>
        <v/>
      </c>
      <c r="AA59" s="450" t="str">
        <f t="shared" ref="AA59" ca="1" si="136">IFERROR(AVERAGE(Z58,Z59),"")</f>
        <v/>
      </c>
      <c r="AB59" s="472" t="str">
        <f>IFERROR(IF(COUNT($N59)=1,($N59/K59)-1,""),"")</f>
        <v/>
      </c>
      <c r="AC59" s="452" t="str">
        <f>IF($AB59&lt;&gt;"",INDEX(Barème!$AI$3:$AI$28,MATCH($AB59,Barème!$AH$3:$AH$28,-1)),"")</f>
        <v/>
      </c>
      <c r="AD59" s="450" t="str">
        <f t="shared" ref="AD59" si="137">IF(COUNT(AC58:AC59)&gt;1,AVERAGE(AC58,AC59),"")</f>
        <v/>
      </c>
      <c r="AE59" s="453" t="str">
        <f t="shared" si="0"/>
        <v/>
      </c>
      <c r="AF59" s="450" t="str">
        <f t="shared" ref="AF59" si="138">IFERROR(AVERAGE(AE59,AE58),"")</f>
        <v/>
      </c>
      <c r="AG59" s="432" t="str">
        <f>IF(COUNTA(R59:S59)=2,COUNTIF(R59:S59,"OUI"),"")</f>
        <v/>
      </c>
      <c r="AH59" s="433" t="str">
        <f>IF(COUNTA(U59)=1,COUNTIF(U59,"OUI"),"")</f>
        <v/>
      </c>
      <c r="AI59" s="434" t="str">
        <f>IF(COUNTA(S59:T59)=2,COUNTIF(S59:T59,"OUI"),"")</f>
        <v/>
      </c>
      <c r="AJ59" s="450" t="str">
        <f t="shared" ref="AJ59" si="139">IF(COUNT(AG59:AH59,AI58)=3,MROUND(SUM(AG59,AH59,AI58),0.25),"")</f>
        <v/>
      </c>
      <c r="AK59" s="450" t="str">
        <f t="shared" si="135"/>
        <v/>
      </c>
    </row>
    <row r="60" spans="1:37" ht="15.75" thickBot="1">
      <c r="A60" s="330">
        <v>20</v>
      </c>
      <c r="B60" s="394" t="s">
        <v>176</v>
      </c>
      <c r="C60" s="395" t="s">
        <v>134</v>
      </c>
      <c r="D60" s="396"/>
      <c r="E60" s="396" t="s">
        <v>177</v>
      </c>
      <c r="F60" s="396" t="s">
        <v>134</v>
      </c>
      <c r="G60" s="396"/>
      <c r="H60" s="399" t="s">
        <v>187</v>
      </c>
      <c r="I60" s="398">
        <v>54</v>
      </c>
      <c r="J60" s="398">
        <v>25</v>
      </c>
      <c r="K60" s="399" t="s">
        <v>178</v>
      </c>
      <c r="L60" s="400" t="s">
        <v>139</v>
      </c>
      <c r="M60" s="397" t="s">
        <v>140</v>
      </c>
      <c r="N60" s="401" t="s">
        <v>126</v>
      </c>
      <c r="O60" s="400" t="s">
        <v>139</v>
      </c>
      <c r="P60" s="402" t="s">
        <v>140</v>
      </c>
      <c r="Q60" s="403" t="s">
        <v>170</v>
      </c>
      <c r="R60" s="454" t="s">
        <v>180</v>
      </c>
      <c r="S60" s="455" t="s">
        <v>181</v>
      </c>
      <c r="T60" s="455" t="s">
        <v>182</v>
      </c>
      <c r="U60" s="456" t="s">
        <v>183</v>
      </c>
      <c r="V60" s="457"/>
      <c r="W60" s="458"/>
      <c r="X60" s="458"/>
      <c r="Y60" s="458"/>
      <c r="Z60" s="459"/>
      <c r="AA60" s="460"/>
      <c r="AB60" s="470" t="s">
        <v>188</v>
      </c>
      <c r="AC60" s="411"/>
      <c r="AD60" s="462"/>
      <c r="AE60" s="463" t="str">
        <f t="shared" si="0"/>
        <v/>
      </c>
      <c r="AF60" s="460"/>
      <c r="AG60" s="464" t="s">
        <v>180</v>
      </c>
      <c r="AH60" s="464" t="s">
        <v>152</v>
      </c>
      <c r="AI60" s="465" t="s">
        <v>163</v>
      </c>
      <c r="AJ60" s="457"/>
      <c r="AK60" s="462"/>
    </row>
    <row r="61" spans="1:37" ht="24" customHeight="1">
      <c r="A61" s="321" t="s">
        <v>127</v>
      </c>
      <c r="B61" s="466" t="str">
        <f ca="1">IFERROR('Compo.Relais(2)'!$AF23,"")</f>
        <v/>
      </c>
      <c r="C61" s="413" t="str">
        <f ca="1">IF(B61&lt;&gt;"",INDEX(Perf.Sprint!$C$4:$C$41,MATCH(B61,Perf.Sprint!$B$4:$B$41,0)),"")</f>
        <v/>
      </c>
      <c r="D61" s="413" t="s">
        <v>149</v>
      </c>
      <c r="E61" s="413" t="str">
        <f ca="1">IFERROR('Compo.Relais(2)'!$AH23,"")</f>
        <v/>
      </c>
      <c r="F61" s="413" t="str">
        <f ca="1">IF(E61&lt;&gt;"",INDEX(Perf.Sprint!$C$4:$C$41,MATCH(E61,Perf.Sprint!$B$4:$B$41,0)),"")</f>
        <v/>
      </c>
      <c r="G61" s="413"/>
      <c r="H61" s="414"/>
      <c r="I61" s="415" t="str">
        <f ca="1">IF(B61&lt;&gt;0,INDEX(Perf.Sprint!$BJ$4:$BJ$40,MATCH(B61,Perf.Sprint!$B$4:$B$40,0)),"")</f>
        <v/>
      </c>
      <c r="J61" s="415" t="str">
        <f ca="1">IF(E61&lt;&gt;0,INDEX(Perf.Sprint!$BG$4:$BG$40,MATCH(E61,Perf.Sprint!$B$4:$B$40,0)),"")</f>
        <v/>
      </c>
      <c r="K61" s="416" t="str">
        <f ca="1">IFERROR(SUM(I61+J61),"")</f>
        <v/>
      </c>
      <c r="L61" s="413" t="str">
        <f ca="1">IF(K61="","",ROUND($J$2/K61,1))</f>
        <v/>
      </c>
      <c r="M61" s="417" t="str">
        <f t="shared" ref="M61:M62" ca="1" si="140">IF(K61="","",(L61*3600)/1000)</f>
        <v/>
      </c>
      <c r="N61" s="418"/>
      <c r="O61" s="419" t="str">
        <f>IFERROR(IF(N61="","",ROUND($J$2/N61,1)),"")</f>
        <v/>
      </c>
      <c r="P61" s="420" t="str">
        <f>IF(O61&lt;&gt;"",(O61*3600)/1000,"")</f>
        <v/>
      </c>
      <c r="Q61" s="467"/>
      <c r="R61" s="422"/>
      <c r="S61" s="423"/>
      <c r="T61" s="423"/>
      <c r="U61" s="424"/>
      <c r="V61" s="425" t="str">
        <f>IF(COUNT(N61:N62)=2,SUM(N61:N62),"")</f>
        <v/>
      </c>
      <c r="W61" s="426" t="str">
        <f ca="1">IF($V61="","",IF(OR(AND(C61="M",F61="F"),AND(C61="F",F61="M")),VLOOKUP($V61,INDIRECT("rel"),1),VLOOKUP($V61,INDIRECT(C61&amp;"rel"),1)))</f>
        <v/>
      </c>
      <c r="X61" s="426" t="str">
        <f ca="1">IFERROR(IF(OR(AND(C61="M",F61="F"),AND(C61="F",F61="M")),INDEX(INDIRECT("rel"),MATCH($V61,INDIRECT("rel"))+1),INDEX(INDIRECT(C61&amp;"rel"),MATCH($V61,INDIRECT(C61&amp;"rel"))+1)),"")</f>
        <v/>
      </c>
      <c r="Y61" s="426" t="str">
        <f ca="1">IF(X61="",W61,IF(V61=W61,W61,X61))</f>
        <v/>
      </c>
      <c r="Z61" s="427" t="str">
        <f ca="1">IF(Y61="","",IF(OR(AND(C61="M",F61="F"),AND(C61="F",F61="M")),VLOOKUP(Y61,relais,3),IF(C61="F",VLOOKUP(Y61,relaisf,7),VLOOKUP(Y61,relaisg,5))))</f>
        <v/>
      </c>
      <c r="AA61" s="428" t="str">
        <f t="shared" ref="AA61" ca="1" si="141">IFERROR(AVERAGE(Z61,Z62),"")</f>
        <v/>
      </c>
      <c r="AB61" s="471" t="str">
        <f>IFERROR(IF(COUNT($N61)=1,($N61/K61)-1,""),"")</f>
        <v/>
      </c>
      <c r="AC61" s="430" t="str">
        <f>IF($AB61&lt;&gt;"",INDEX(Barème!$AI$3:$AI$28,MATCH($AB61,Barème!$AH$3:$AH$28,-1)),"")</f>
        <v/>
      </c>
      <c r="AD61" s="428" t="str">
        <f t="shared" ref="AD61" si="142">IF(COUNT(AC61:AC62)&gt;1,AVERAGE(AC61,AC62),"")</f>
        <v/>
      </c>
      <c r="AE61" s="431" t="str">
        <f t="shared" si="0"/>
        <v/>
      </c>
      <c r="AF61" s="428" t="str">
        <f t="shared" ref="AF61" si="143">IFERROR(AVERAGE(AE61:AE62),"")</f>
        <v/>
      </c>
      <c r="AG61" s="432" t="str">
        <f>IF(COUNTA(R61:S61)=2,COUNTIF(R61:S61,"OUI"),"")</f>
        <v/>
      </c>
      <c r="AH61" s="433" t="str">
        <f>IF(COUNTA(U61)=1,COUNTIF(U61,"OUI"),"")</f>
        <v/>
      </c>
      <c r="AI61" s="434" t="str">
        <f>IF(COUNTA(S61:T61)=2,COUNTIF(S61:T61,"OUI"),"")</f>
        <v/>
      </c>
      <c r="AJ61" s="428" t="str">
        <f>IF(COUNT(AG61:AH61,AI62)=3,MROUND(SUM(AG61,AH61,AI62),0.25),"")</f>
        <v/>
      </c>
      <c r="AK61" s="428" t="str">
        <f t="shared" ref="AK61:AK62" si="144">IFERROR((AF61/4)*3+(AJ61/5)*3,"")</f>
        <v/>
      </c>
    </row>
    <row r="62" spans="1:37" ht="24" customHeight="1" thickBot="1">
      <c r="A62" s="321" t="s">
        <v>128</v>
      </c>
      <c r="B62" s="468" t="str">
        <f ca="1">E61</f>
        <v/>
      </c>
      <c r="C62" s="436" t="str">
        <f ca="1">IF(B62&lt;&gt;"",INDEX(Perf.Sprint!$C$4:$C$41,MATCH(B62,Perf.Sprint!$B$4:$B$41,0)),"")</f>
        <v/>
      </c>
      <c r="D62" s="436" t="s">
        <v>149</v>
      </c>
      <c r="E62" s="436" t="str">
        <f ca="1">B61</f>
        <v/>
      </c>
      <c r="F62" s="436" t="str">
        <f ca="1">IF(E62&lt;&gt;"",INDEX(Perf.Sprint!$C$4:$C$41,MATCH(E62,Perf.Sprint!$B$4:$B$41,0)),"")</f>
        <v/>
      </c>
      <c r="G62" s="436"/>
      <c r="H62" s="437"/>
      <c r="I62" s="438" t="str">
        <f ca="1">IF(B62&lt;&gt;0,INDEX(Perf.Sprint!$BJ$4:$BJ$40,MATCH(B62,Perf.Sprint!$B$4:$B$40,0)),"")</f>
        <v/>
      </c>
      <c r="J62" s="438" t="str">
        <f ca="1">IF(E62&lt;&gt;0,INDEX(Perf.Sprint!$BG$4:$BG$40,MATCH(E62,Perf.Sprint!$B$4:$B$40,0)),"")</f>
        <v/>
      </c>
      <c r="K62" s="438" t="str">
        <f ca="1">IFERROR(SUM(I62+J62),"")</f>
        <v/>
      </c>
      <c r="L62" s="436" t="str">
        <f ca="1">IF(K62="","",ROUND($J$2/K62,1))</f>
        <v/>
      </c>
      <c r="M62" s="439" t="str">
        <f t="shared" ca="1" si="140"/>
        <v/>
      </c>
      <c r="N62" s="440"/>
      <c r="O62" s="441" t="str">
        <f>IFERROR(IF(N62="","",ROUND($J$2/N62,1)),"")</f>
        <v/>
      </c>
      <c r="P62" s="442" t="str">
        <f>IF(O62&lt;&gt;"",(O62*3600)/1000,"")</f>
        <v/>
      </c>
      <c r="Q62" s="469"/>
      <c r="R62" s="444"/>
      <c r="S62" s="445"/>
      <c r="T62" s="445"/>
      <c r="U62" s="446"/>
      <c r="V62" s="447" t="str">
        <f>IF(COUNT(N61:N62)=2,SUM(N61:N62),"")</f>
        <v/>
      </c>
      <c r="W62" s="448" t="str">
        <f ca="1">IF($V62="","",IF(OR(AND(C62="M",F62="F"),AND(C62="F",F62="M")),VLOOKUP($V62,INDIRECT("rel"),1),VLOOKUP($V62,INDIRECT(C62&amp;"rel"),1)))</f>
        <v/>
      </c>
      <c r="X62" s="448" t="str">
        <f ca="1">IFERROR(IF(OR(AND(C62="M",F62="F"),AND(C62="F",F62="M")),INDEX(INDIRECT("rel"),MATCH($V62,INDIRECT("rel"))+1),INDEX(INDIRECT(C62&amp;"rel"),MATCH($V62,INDIRECT(C62&amp;"rel"))+1)),"")</f>
        <v/>
      </c>
      <c r="Y62" s="448" t="str">
        <f ca="1">IF(X62="",W62,IF(V62=W62,W62,X62))</f>
        <v/>
      </c>
      <c r="Z62" s="449" t="str">
        <f ca="1">IF(Y62="","",IF(OR(AND(C62="M",F62="F"),AND(C62="F",F62="M")),VLOOKUP(Y62,relais,3),IF(C62="F",VLOOKUP(Y62,relaisf,7),VLOOKUP(Y62,relaisg,5))))</f>
        <v/>
      </c>
      <c r="AA62" s="450" t="str">
        <f t="shared" ref="AA62" ca="1" si="145">IFERROR(AVERAGE(Z61,Z62),"")</f>
        <v/>
      </c>
      <c r="AB62" s="472" t="str">
        <f>IFERROR(IF(COUNT($N62)=1,($N62/K62)-1,""),"")</f>
        <v/>
      </c>
      <c r="AC62" s="452" t="str">
        <f>IF($AB62&lt;&gt;"",INDEX(Barème!$AI$3:$AI$28,MATCH($AB62,Barème!$AH$3:$AH$28,-1)),"")</f>
        <v/>
      </c>
      <c r="AD62" s="450" t="str">
        <f t="shared" ref="AD62" si="146">IF(COUNT(AC61:AC62)&gt;1,AVERAGE(AC61,AC62),"")</f>
        <v/>
      </c>
      <c r="AE62" s="453" t="str">
        <f t="shared" si="0"/>
        <v/>
      </c>
      <c r="AF62" s="450" t="str">
        <f t="shared" ref="AF62" si="147">IFERROR(AVERAGE(AE62,AE61),"")</f>
        <v/>
      </c>
      <c r="AG62" s="475" t="str">
        <f>IF(COUNTA(R62:S62)=2,COUNTIF(R62:S62,"OUI"),"")</f>
        <v/>
      </c>
      <c r="AH62" s="433" t="str">
        <f>IF(COUNTA(U62)=1,COUNTIF(U62,"OUI"),"")</f>
        <v/>
      </c>
      <c r="AI62" s="434" t="str">
        <f>IF(COUNTA(S62:T62)=2,COUNTIF(S62:T62,"OUI"),"")</f>
        <v/>
      </c>
      <c r="AJ62" s="450" t="str">
        <f t="shared" ref="AJ62" si="148">IF(COUNT(AG62:AH62,AI61)=3,MROUND(SUM(AG62,AH62,AI61),0.25),"")</f>
        <v/>
      </c>
      <c r="AK62" s="450" t="str">
        <f t="shared" si="144"/>
        <v/>
      </c>
    </row>
    <row r="63" spans="1:37" ht="15.75" thickBot="1">
      <c r="A63" s="330">
        <v>21</v>
      </c>
      <c r="B63" s="394" t="s">
        <v>176</v>
      </c>
      <c r="C63" s="395" t="s">
        <v>134</v>
      </c>
      <c r="D63" s="396"/>
      <c r="E63" s="396" t="s">
        <v>177</v>
      </c>
      <c r="F63" s="396" t="s">
        <v>134</v>
      </c>
      <c r="G63" s="396"/>
      <c r="H63" s="399" t="s">
        <v>187</v>
      </c>
      <c r="I63" s="398">
        <v>54</v>
      </c>
      <c r="J63" s="398">
        <v>25</v>
      </c>
      <c r="K63" s="399" t="s">
        <v>178</v>
      </c>
      <c r="L63" s="400" t="s">
        <v>139</v>
      </c>
      <c r="M63" s="397" t="s">
        <v>140</v>
      </c>
      <c r="N63" s="401" t="s">
        <v>126</v>
      </c>
      <c r="O63" s="400" t="s">
        <v>139</v>
      </c>
      <c r="P63" s="402" t="s">
        <v>140</v>
      </c>
      <c r="Q63" s="403" t="s">
        <v>170</v>
      </c>
      <c r="R63" s="454" t="s">
        <v>180</v>
      </c>
      <c r="S63" s="455" t="s">
        <v>181</v>
      </c>
      <c r="T63" s="455" t="s">
        <v>182</v>
      </c>
      <c r="U63" s="456" t="s">
        <v>183</v>
      </c>
      <c r="V63" s="457"/>
      <c r="W63" s="458"/>
      <c r="X63" s="458"/>
      <c r="Y63" s="458"/>
      <c r="Z63" s="459"/>
      <c r="AA63" s="460"/>
      <c r="AB63" s="470" t="s">
        <v>188</v>
      </c>
      <c r="AC63" s="411"/>
      <c r="AD63" s="462"/>
      <c r="AE63" s="463" t="str">
        <f t="shared" si="0"/>
        <v/>
      </c>
      <c r="AF63" s="460"/>
      <c r="AG63" s="464" t="s">
        <v>180</v>
      </c>
      <c r="AH63" s="464" t="s">
        <v>152</v>
      </c>
      <c r="AI63" s="465" t="s">
        <v>163</v>
      </c>
      <c r="AJ63" s="457"/>
      <c r="AK63" s="462"/>
    </row>
    <row r="64" spans="1:37" ht="24" customHeight="1">
      <c r="A64" s="321" t="s">
        <v>127</v>
      </c>
      <c r="B64" s="466" t="str">
        <f ca="1">IFERROR('Compo.Relais(2)'!$AF24,"")</f>
        <v/>
      </c>
      <c r="C64" s="413" t="str">
        <f ca="1">IF(B64&lt;&gt;"",INDEX(Perf.Sprint!$C$4:$C$41,MATCH(B64,Perf.Sprint!$B$4:$B$41,0)),"")</f>
        <v/>
      </c>
      <c r="D64" s="413" t="s">
        <v>149</v>
      </c>
      <c r="E64" s="413" t="str">
        <f ca="1">IFERROR('Compo.Relais(2)'!$AH24,"")</f>
        <v/>
      </c>
      <c r="F64" s="413" t="str">
        <f ca="1">IF(E64&lt;&gt;"",INDEX(Perf.Sprint!$C$4:$C$41,MATCH(E64,Perf.Sprint!$B$4:$B$41,0)),"")</f>
        <v/>
      </c>
      <c r="G64" s="413"/>
      <c r="H64" s="414"/>
      <c r="I64" s="415" t="str">
        <f ca="1">IF(B64&lt;&gt;0,INDEX(Perf.Sprint!$BJ$4:$BJ$40,MATCH(B64,Perf.Sprint!$B$4:$B$40,0)),"")</f>
        <v/>
      </c>
      <c r="J64" s="415" t="str">
        <f ca="1">IF(E64&lt;&gt;0,INDEX(Perf.Sprint!$BG$4:$BG$40,MATCH(E64,Perf.Sprint!$B$4:$B$40,0)),"")</f>
        <v/>
      </c>
      <c r="K64" s="416" t="str">
        <f t="shared" ref="K64:K65" ca="1" si="149">IFERROR(SUM(I64+J64),"")</f>
        <v/>
      </c>
      <c r="L64" s="413" t="str">
        <f t="shared" ref="L64:L65" ca="1" si="150">IF(K64="","",ROUND($J$2/K64,1))</f>
        <v/>
      </c>
      <c r="M64" s="417" t="str">
        <f t="shared" ref="M64:M65" ca="1" si="151">IF(K64="","",(L64*3600)/1000)</f>
        <v/>
      </c>
      <c r="N64" s="418"/>
      <c r="O64" s="419" t="str">
        <f t="shared" ref="O64:O65" si="152">IFERROR(IF(N64="","",ROUND($J$2/N64,1)),"")</f>
        <v/>
      </c>
      <c r="P64" s="420" t="str">
        <f t="shared" ref="P64:P65" si="153">IF(O64&lt;&gt;"",(O64*3600)/1000,"")</f>
        <v/>
      </c>
      <c r="Q64" s="467"/>
      <c r="R64" s="422"/>
      <c r="S64" s="423"/>
      <c r="T64" s="423"/>
      <c r="U64" s="424"/>
      <c r="V64" s="425" t="str">
        <f t="shared" ref="V64" si="154">IF(COUNT(N64:N65)=2,SUM(N64:N65),"")</f>
        <v/>
      </c>
      <c r="W64" s="426" t="str">
        <f t="shared" ref="W64:W65" ca="1" si="155">IF($V64="","",IF(OR(AND(C64="M",F64="F"),AND(C64="F",F64="M")),VLOOKUP($V64,INDIRECT("rel"),1),VLOOKUP($V64,INDIRECT(C64&amp;"rel"),1)))</f>
        <v/>
      </c>
      <c r="X64" s="426" t="str">
        <f t="shared" ref="X64:X65" ca="1" si="156">IFERROR(IF(OR(AND(C64="M",F64="F"),AND(C64="F",F64="M")),INDEX(INDIRECT("rel"),MATCH($V64,INDIRECT("rel"))+1),INDEX(INDIRECT(C64&amp;"rel"),MATCH($V64,INDIRECT(C64&amp;"rel"))+1)),"")</f>
        <v/>
      </c>
      <c r="Y64" s="426" t="str">
        <f t="shared" ref="Y64:Y65" ca="1" si="157">IF(X64="",W64,IF(V64=W64,W64,X64))</f>
        <v/>
      </c>
      <c r="Z64" s="427" t="str">
        <f ca="1">IF(Y64="","",IF(OR(AND(C64="M",F64="F"),AND(C64="F",F64="M")),VLOOKUP(Y64,relais,3),IF(C64="F",VLOOKUP(Y64,relaisf,7),VLOOKUP(Y64,relaisg,5))))</f>
        <v/>
      </c>
      <c r="AA64" s="428" t="str">
        <f t="shared" ref="AA64" ca="1" si="158">IFERROR(AVERAGE(Z64,Z65),"")</f>
        <v/>
      </c>
      <c r="AB64" s="471" t="str">
        <f t="shared" ref="AB64:AB65" si="159">IFERROR(IF(COUNT($N64)=1,($N64/K64)-1,""),"")</f>
        <v/>
      </c>
      <c r="AC64" s="430" t="str">
        <f>IF($AB64&lt;&gt;"",INDEX(Barème!$AI$3:$AI$28,MATCH($AB64,Barème!$AH$3:$AH$28,-1)),"")</f>
        <v/>
      </c>
      <c r="AD64" s="428" t="str">
        <f t="shared" ref="AD64" si="160">IF(COUNT(AC64:AC65)&gt;1,AVERAGE(AC64,AC65),"")</f>
        <v/>
      </c>
      <c r="AE64" s="431" t="str">
        <f t="shared" si="0"/>
        <v/>
      </c>
      <c r="AF64" s="428" t="str">
        <f t="shared" ref="AF64" si="161">IFERROR(AVERAGE(AE64:AE65),"")</f>
        <v/>
      </c>
      <c r="AG64" s="432" t="str">
        <f t="shared" ref="AG64:AG65" si="162">IF(COUNTA(R64:S64)=2,COUNTIF(R64:S64,"OUI"),"")</f>
        <v/>
      </c>
      <c r="AH64" s="433" t="str">
        <f t="shared" ref="AH64:AH65" si="163">IF(COUNTA(U64)=1,COUNTIF(U64,"OUI"),"")</f>
        <v/>
      </c>
      <c r="AI64" s="434" t="str">
        <f t="shared" ref="AI64:AI65" si="164">IF(COUNTA(S64:T64)=2,COUNTIF(S64:T64,"OUI"),"")</f>
        <v/>
      </c>
      <c r="AJ64" s="428" t="str">
        <f t="shared" ref="AJ64" si="165">IF(COUNT(AG64:AH64,AI65)=3,MROUND(SUM(AG64,AH64,AI65),0.25),"")</f>
        <v/>
      </c>
      <c r="AK64" s="428" t="str">
        <f t="shared" ref="AK64:AK65" si="166">IFERROR((AF64/4)*3+(AJ64/5)*3,"")</f>
        <v/>
      </c>
    </row>
    <row r="65" spans="1:37" ht="24" customHeight="1" thickBot="1">
      <c r="A65" s="321" t="s">
        <v>128</v>
      </c>
      <c r="B65" s="468" t="str">
        <f t="shared" ref="B65" ca="1" si="167">E64</f>
        <v/>
      </c>
      <c r="C65" s="436" t="str">
        <f ca="1">IF(B65&lt;&gt;"",INDEX(Perf.Sprint!$C$4:$C$41,MATCH(B65,Perf.Sprint!$B$4:$B$41,0)),"")</f>
        <v/>
      </c>
      <c r="D65" s="436" t="s">
        <v>149</v>
      </c>
      <c r="E65" s="436" t="str">
        <f t="shared" ref="E65" ca="1" si="168">B64</f>
        <v/>
      </c>
      <c r="F65" s="436" t="str">
        <f ca="1">IF(E65&lt;&gt;"",INDEX(Perf.Sprint!$C$4:$C$41,MATCH(E65,Perf.Sprint!$B$4:$B$41,0)),"")</f>
        <v/>
      </c>
      <c r="G65" s="436"/>
      <c r="H65" s="437"/>
      <c r="I65" s="438" t="str">
        <f ca="1">IF(B65&lt;&gt;0,INDEX(Perf.Sprint!$BJ$4:$BJ$40,MATCH(B65,Perf.Sprint!$B$4:$B$40,0)),"")</f>
        <v/>
      </c>
      <c r="J65" s="438" t="str">
        <f ca="1">IF(E65&lt;&gt;0,INDEX(Perf.Sprint!$BG$4:$BG$40,MATCH(E65,Perf.Sprint!$B$4:$B$40,0)),"")</f>
        <v/>
      </c>
      <c r="K65" s="438" t="str">
        <f t="shared" ca="1" si="149"/>
        <v/>
      </c>
      <c r="L65" s="436" t="str">
        <f t="shared" ca="1" si="150"/>
        <v/>
      </c>
      <c r="M65" s="439" t="str">
        <f t="shared" ca="1" si="151"/>
        <v/>
      </c>
      <c r="N65" s="440"/>
      <c r="O65" s="441" t="str">
        <f t="shared" si="152"/>
        <v/>
      </c>
      <c r="P65" s="442" t="str">
        <f t="shared" si="153"/>
        <v/>
      </c>
      <c r="Q65" s="469"/>
      <c r="R65" s="444"/>
      <c r="S65" s="445"/>
      <c r="T65" s="445"/>
      <c r="U65" s="446"/>
      <c r="V65" s="447" t="str">
        <f t="shared" ref="V65" si="169">IF(COUNT(N64:N65)=2,SUM(N64:N65),"")</f>
        <v/>
      </c>
      <c r="W65" s="448" t="str">
        <f t="shared" ca="1" si="155"/>
        <v/>
      </c>
      <c r="X65" s="448" t="str">
        <f t="shared" ca="1" si="156"/>
        <v/>
      </c>
      <c r="Y65" s="448" t="str">
        <f t="shared" ca="1" si="157"/>
        <v/>
      </c>
      <c r="Z65" s="449" t="str">
        <f ca="1">IF(Y65="","",IF(OR(AND(C65="M",F65="F"),AND(C65="F",F65="M")),VLOOKUP(Y65,relais,3),IF(C65="F",VLOOKUP(Y65,relaisf,7),VLOOKUP(Y65,relaisg,5))))</f>
        <v/>
      </c>
      <c r="AA65" s="450" t="str">
        <f t="shared" ref="AA65" ca="1" si="170">IFERROR(AVERAGE(Z64,Z65),"")</f>
        <v/>
      </c>
      <c r="AB65" s="472" t="str">
        <f t="shared" si="159"/>
        <v/>
      </c>
      <c r="AC65" s="452" t="str">
        <f>IF($AB65&lt;&gt;"",INDEX(Barème!$AI$3:$AI$28,MATCH($AB65,Barème!$AH$3:$AH$28,-1)),"")</f>
        <v/>
      </c>
      <c r="AD65" s="450" t="str">
        <f t="shared" ref="AD65" si="171">IF(COUNT(AC64:AC65)&gt;1,AVERAGE(AC64,AC65),"")</f>
        <v/>
      </c>
      <c r="AE65" s="453" t="str">
        <f t="shared" si="0"/>
        <v/>
      </c>
      <c r="AF65" s="450" t="str">
        <f t="shared" ref="AF65" si="172">IFERROR(AVERAGE(AE65,AE64),"")</f>
        <v/>
      </c>
      <c r="AG65" s="475" t="str">
        <f t="shared" si="162"/>
        <v/>
      </c>
      <c r="AH65" s="433" t="str">
        <f t="shared" si="163"/>
        <v/>
      </c>
      <c r="AI65" s="434" t="str">
        <f t="shared" si="164"/>
        <v/>
      </c>
      <c r="AJ65" s="450" t="str">
        <f t="shared" ref="AJ65" si="173">IF(COUNT(AG65:AH65,AI64)=3,MROUND(SUM(AG65,AH65,AI64),0.25),"")</f>
        <v/>
      </c>
      <c r="AK65" s="450" t="str">
        <f t="shared" si="166"/>
        <v/>
      </c>
    </row>
    <row r="66" spans="1:37" ht="15.75" thickBot="1">
      <c r="A66" s="330">
        <v>22</v>
      </c>
      <c r="B66" s="394" t="s">
        <v>176</v>
      </c>
      <c r="C66" s="395" t="s">
        <v>134</v>
      </c>
      <c r="D66" s="396"/>
      <c r="E66" s="396" t="s">
        <v>177</v>
      </c>
      <c r="F66" s="396" t="s">
        <v>134</v>
      </c>
      <c r="G66" s="396"/>
      <c r="H66" s="399" t="s">
        <v>187</v>
      </c>
      <c r="I66" s="398">
        <v>54</v>
      </c>
      <c r="J66" s="398">
        <v>25</v>
      </c>
      <c r="K66" s="399" t="s">
        <v>178</v>
      </c>
      <c r="L66" s="400" t="s">
        <v>139</v>
      </c>
      <c r="M66" s="397" t="s">
        <v>140</v>
      </c>
      <c r="N66" s="401" t="s">
        <v>126</v>
      </c>
      <c r="O66" s="400" t="s">
        <v>139</v>
      </c>
      <c r="P66" s="402" t="s">
        <v>140</v>
      </c>
      <c r="Q66" s="403" t="s">
        <v>170</v>
      </c>
      <c r="R66" s="454" t="s">
        <v>180</v>
      </c>
      <c r="S66" s="455" t="s">
        <v>181</v>
      </c>
      <c r="T66" s="455" t="s">
        <v>182</v>
      </c>
      <c r="U66" s="456" t="s">
        <v>183</v>
      </c>
      <c r="V66" s="457"/>
      <c r="W66" s="458"/>
      <c r="X66" s="458"/>
      <c r="Y66" s="458"/>
      <c r="Z66" s="459"/>
      <c r="AA66" s="460"/>
      <c r="AB66" s="470" t="s">
        <v>188</v>
      </c>
      <c r="AC66" s="411"/>
      <c r="AD66" s="462"/>
      <c r="AE66" s="463" t="str">
        <f t="shared" si="0"/>
        <v/>
      </c>
      <c r="AF66" s="460"/>
      <c r="AG66" s="464" t="s">
        <v>180</v>
      </c>
      <c r="AH66" s="464" t="s">
        <v>152</v>
      </c>
      <c r="AI66" s="465" t="s">
        <v>163</v>
      </c>
      <c r="AJ66" s="457"/>
      <c r="AK66" s="462"/>
    </row>
    <row r="67" spans="1:37" ht="24" customHeight="1">
      <c r="A67" s="321" t="s">
        <v>127</v>
      </c>
      <c r="B67" s="466" t="str">
        <f ca="1">IFERROR('Compo.Relais(2)'!$AF25,"")</f>
        <v/>
      </c>
      <c r="C67" s="413" t="str">
        <f ca="1">IF(B67&lt;&gt;"",INDEX(Perf.Sprint!$C$4:$C$41,MATCH(B67,Perf.Sprint!$B$4:$B$41,0)),"")</f>
        <v/>
      </c>
      <c r="D67" s="413" t="s">
        <v>149</v>
      </c>
      <c r="E67" s="413" t="str">
        <f ca="1">IFERROR('Compo.Relais(2)'!$AH25,"")</f>
        <v/>
      </c>
      <c r="F67" s="413" t="str">
        <f ca="1">IF(E67&lt;&gt;"",INDEX(Perf.Sprint!$C$4:$C$41,MATCH(E67,Perf.Sprint!$B$4:$B$41,0)),"")</f>
        <v/>
      </c>
      <c r="G67" s="413"/>
      <c r="H67" s="414"/>
      <c r="I67" s="415" t="str">
        <f ca="1">IF(B67&lt;&gt;0,INDEX(Perf.Sprint!$BJ$4:$BJ$40,MATCH(B67,Perf.Sprint!$B$4:$B$40,0)),"")</f>
        <v/>
      </c>
      <c r="J67" s="415" t="str">
        <f ca="1">IF(E67&lt;&gt;0,INDEX(Perf.Sprint!$BG$4:$BG$40,MATCH(E67,Perf.Sprint!$B$4:$B$40,0)),"")</f>
        <v/>
      </c>
      <c r="K67" s="416" t="str">
        <f t="shared" ref="K67:K68" ca="1" si="174">IFERROR(SUM(I67+J67),"")</f>
        <v/>
      </c>
      <c r="L67" s="413" t="str">
        <f t="shared" ref="L67:L68" ca="1" si="175">IF(K67="","",ROUND($J$2/K67,1))</f>
        <v/>
      </c>
      <c r="M67" s="417" t="str">
        <f t="shared" ref="M67:M68" ca="1" si="176">IF(K67="","",(L67*3600)/1000)</f>
        <v/>
      </c>
      <c r="N67" s="418"/>
      <c r="O67" s="419" t="str">
        <f t="shared" ref="O67:O68" si="177">IFERROR(IF(N67="","",ROUND($J$2/N67,1)),"")</f>
        <v/>
      </c>
      <c r="P67" s="420" t="str">
        <f t="shared" ref="P67:P68" si="178">IF(O67&lt;&gt;"",(O67*3600)/1000,"")</f>
        <v/>
      </c>
      <c r="Q67" s="467"/>
      <c r="R67" s="422"/>
      <c r="S67" s="423"/>
      <c r="T67" s="423"/>
      <c r="U67" s="424"/>
      <c r="V67" s="425" t="str">
        <f t="shared" ref="V67" si="179">IF(COUNT(N67:N68)=2,SUM(N67:N68),"")</f>
        <v/>
      </c>
      <c r="W67" s="426" t="str">
        <f t="shared" ref="W67:W68" ca="1" si="180">IF($V67="","",IF(OR(AND(C67="M",F67="F"),AND(C67="F",F67="M")),VLOOKUP($V67,INDIRECT("rel"),1),VLOOKUP($V67,INDIRECT(C67&amp;"rel"),1)))</f>
        <v/>
      </c>
      <c r="X67" s="426" t="str">
        <f t="shared" ref="X67:X68" ca="1" si="181">IFERROR(IF(OR(AND(C67="M",F67="F"),AND(C67="F",F67="M")),INDEX(INDIRECT("rel"),MATCH($V67,INDIRECT("rel"))+1),INDEX(INDIRECT(C67&amp;"rel"),MATCH($V67,INDIRECT(C67&amp;"rel"))+1)),"")</f>
        <v/>
      </c>
      <c r="Y67" s="426" t="str">
        <f t="shared" ref="Y67:Y68" ca="1" si="182">IF(X67="",W67,IF(V67=W67,W67,X67))</f>
        <v/>
      </c>
      <c r="Z67" s="427" t="str">
        <f ca="1">IF(Y67="","",IF(OR(AND(C67="M",F67="F"),AND(C67="F",F67="M")),VLOOKUP(Y67,relais,3),IF(C67="F",VLOOKUP(Y67,relaisf,7),VLOOKUP(Y67,relaisg,5))))</f>
        <v/>
      </c>
      <c r="AA67" s="428" t="str">
        <f t="shared" ref="AA67" ca="1" si="183">IFERROR(AVERAGE(Z67,Z68),"")</f>
        <v/>
      </c>
      <c r="AB67" s="471" t="str">
        <f t="shared" ref="AB67:AB68" si="184">IFERROR(IF(COUNT($N67)=1,($N67/K67)-1,""),"")</f>
        <v/>
      </c>
      <c r="AC67" s="430" t="str">
        <f>IF($AB67&lt;&gt;"",INDEX(Barème!$AI$3:$AI$28,MATCH($AB67,Barème!$AH$3:$AH$28,-1)),"")</f>
        <v/>
      </c>
      <c r="AD67" s="428" t="str">
        <f t="shared" ref="AD67" si="185">IF(COUNT(AC67:AC68)&gt;1,AVERAGE(AC67,AC68),"")</f>
        <v/>
      </c>
      <c r="AE67" s="431" t="str">
        <f t="shared" si="0"/>
        <v/>
      </c>
      <c r="AF67" s="428" t="str">
        <f t="shared" ref="AF67" si="186">IFERROR(AVERAGE(AE67:AE68),"")</f>
        <v/>
      </c>
      <c r="AG67" s="432" t="str">
        <f t="shared" ref="AG67:AG68" si="187">IF(COUNTA(R67:S67)=2,COUNTIF(R67:S67,"OUI"),"")</f>
        <v/>
      </c>
      <c r="AH67" s="433" t="str">
        <f t="shared" ref="AH67:AH68" si="188">IF(COUNTA(U67)=1,COUNTIF(U67,"OUI"),"")</f>
        <v/>
      </c>
      <c r="AI67" s="434" t="str">
        <f t="shared" ref="AI67:AI68" si="189">IF(COUNTA(S67:T67)=2,COUNTIF(S67:T67,"OUI"),"")</f>
        <v/>
      </c>
      <c r="AJ67" s="428" t="str">
        <f t="shared" ref="AJ67" si="190">IF(COUNT(AG67:AH67,AI68)=3,MROUND(SUM(AG67,AH67,AI68),0.25),"")</f>
        <v/>
      </c>
      <c r="AK67" s="428" t="str">
        <f t="shared" ref="AK67:AK68" si="191">IFERROR((AF67/4)*3+(AJ67/5)*3,"")</f>
        <v/>
      </c>
    </row>
    <row r="68" spans="1:37" ht="24" customHeight="1" thickBot="1">
      <c r="A68" s="321" t="s">
        <v>128</v>
      </c>
      <c r="B68" s="468" t="str">
        <f t="shared" ref="B68" ca="1" si="192">E67</f>
        <v/>
      </c>
      <c r="C68" s="436" t="str">
        <f ca="1">IF(B68&lt;&gt;"",INDEX(Perf.Sprint!$C$4:$C$41,MATCH(B68,Perf.Sprint!$B$4:$B$41,0)),"")</f>
        <v/>
      </c>
      <c r="D68" s="436" t="s">
        <v>149</v>
      </c>
      <c r="E68" s="436" t="str">
        <f t="shared" ref="E68" ca="1" si="193">B67</f>
        <v/>
      </c>
      <c r="F68" s="436" t="str">
        <f ca="1">IF(E68&lt;&gt;"",INDEX(Perf.Sprint!$C$4:$C$41,MATCH(E68,Perf.Sprint!$B$4:$B$41,0)),"")</f>
        <v/>
      </c>
      <c r="G68" s="436"/>
      <c r="H68" s="437"/>
      <c r="I68" s="438" t="str">
        <f ca="1">IF(B68&lt;&gt;0,INDEX(Perf.Sprint!$BJ$4:$BJ$40,MATCH(B68,Perf.Sprint!$B$4:$B$40,0)),"")</f>
        <v/>
      </c>
      <c r="J68" s="438" t="str">
        <f ca="1">IF(E68&lt;&gt;0,INDEX(Perf.Sprint!$BG$4:$BG$40,MATCH(E68,Perf.Sprint!$B$4:$B$40,0)),"")</f>
        <v/>
      </c>
      <c r="K68" s="438" t="str">
        <f t="shared" ca="1" si="174"/>
        <v/>
      </c>
      <c r="L68" s="436" t="str">
        <f t="shared" ca="1" si="175"/>
        <v/>
      </c>
      <c r="M68" s="439" t="str">
        <f t="shared" ca="1" si="176"/>
        <v/>
      </c>
      <c r="N68" s="440"/>
      <c r="O68" s="441" t="str">
        <f t="shared" si="177"/>
        <v/>
      </c>
      <c r="P68" s="442" t="str">
        <f t="shared" si="178"/>
        <v/>
      </c>
      <c r="Q68" s="469"/>
      <c r="R68" s="444"/>
      <c r="S68" s="445"/>
      <c r="T68" s="445"/>
      <c r="U68" s="446"/>
      <c r="V68" s="447" t="str">
        <f t="shared" ref="V68" si="194">IF(COUNT(N67:N68)=2,SUM(N67:N68),"")</f>
        <v/>
      </c>
      <c r="W68" s="448" t="str">
        <f t="shared" ca="1" si="180"/>
        <v/>
      </c>
      <c r="X68" s="448" t="str">
        <f t="shared" ca="1" si="181"/>
        <v/>
      </c>
      <c r="Y68" s="448" t="str">
        <f t="shared" ca="1" si="182"/>
        <v/>
      </c>
      <c r="Z68" s="449" t="str">
        <f ca="1">IF(Y68="","",IF(OR(AND(C68="M",F68="F"),AND(C68="F",F68="M")),VLOOKUP(Y68,relais,3),IF(C68="F",VLOOKUP(Y68,relaisf,7),VLOOKUP(Y68,relaisg,5))))</f>
        <v/>
      </c>
      <c r="AA68" s="450" t="str">
        <f t="shared" ref="AA68" ca="1" si="195">IFERROR(AVERAGE(Z67,Z68),"")</f>
        <v/>
      </c>
      <c r="AB68" s="472" t="str">
        <f t="shared" si="184"/>
        <v/>
      </c>
      <c r="AC68" s="452" t="str">
        <f>IF($AB68&lt;&gt;"",INDEX(Barème!$AI$3:$AI$28,MATCH($AB68,Barème!$AH$3:$AH$28,-1)),"")</f>
        <v/>
      </c>
      <c r="AD68" s="450" t="str">
        <f t="shared" ref="AD68" si="196">IF(COUNT(AC67:AC68)&gt;1,AVERAGE(AC67,AC68),"")</f>
        <v/>
      </c>
      <c r="AE68" s="453" t="str">
        <f t="shared" si="0"/>
        <v/>
      </c>
      <c r="AF68" s="450" t="str">
        <f t="shared" ref="AF68" si="197">IFERROR(AVERAGE(AE68,AE67),"")</f>
        <v/>
      </c>
      <c r="AG68" s="475" t="str">
        <f t="shared" si="187"/>
        <v/>
      </c>
      <c r="AH68" s="433" t="str">
        <f t="shared" si="188"/>
        <v/>
      </c>
      <c r="AI68" s="434" t="str">
        <f t="shared" si="189"/>
        <v/>
      </c>
      <c r="AJ68" s="450" t="str">
        <f t="shared" ref="AJ68" si="198">IF(COUNT(AG68:AH68,AI67)=3,MROUND(SUM(AG68,AH68,AI67),0.25),"")</f>
        <v/>
      </c>
      <c r="AK68" s="450" t="str">
        <f t="shared" si="191"/>
        <v/>
      </c>
    </row>
    <row r="69" spans="1:37" ht="15.75" thickBot="1">
      <c r="A69" s="330">
        <v>23</v>
      </c>
      <c r="B69" s="394" t="s">
        <v>176</v>
      </c>
      <c r="C69" s="395" t="s">
        <v>134</v>
      </c>
      <c r="D69" s="396"/>
      <c r="E69" s="396" t="s">
        <v>177</v>
      </c>
      <c r="F69" s="396" t="s">
        <v>134</v>
      </c>
      <c r="G69" s="396"/>
      <c r="H69" s="399" t="s">
        <v>187</v>
      </c>
      <c r="I69" s="398">
        <v>54</v>
      </c>
      <c r="J69" s="398">
        <v>25</v>
      </c>
      <c r="K69" s="399" t="s">
        <v>178</v>
      </c>
      <c r="L69" s="400" t="s">
        <v>139</v>
      </c>
      <c r="M69" s="397" t="s">
        <v>140</v>
      </c>
      <c r="N69" s="401" t="s">
        <v>126</v>
      </c>
      <c r="O69" s="400" t="s">
        <v>139</v>
      </c>
      <c r="P69" s="402" t="s">
        <v>140</v>
      </c>
      <c r="Q69" s="403" t="s">
        <v>170</v>
      </c>
      <c r="R69" s="454" t="s">
        <v>180</v>
      </c>
      <c r="S69" s="455" t="s">
        <v>181</v>
      </c>
      <c r="T69" s="455" t="s">
        <v>182</v>
      </c>
      <c r="U69" s="456" t="s">
        <v>183</v>
      </c>
      <c r="V69" s="457"/>
      <c r="W69" s="458"/>
      <c r="X69" s="458"/>
      <c r="Y69" s="458"/>
      <c r="Z69" s="459"/>
      <c r="AA69" s="460"/>
      <c r="AB69" s="470" t="s">
        <v>188</v>
      </c>
      <c r="AC69" s="411"/>
      <c r="AD69" s="462"/>
      <c r="AE69" s="463" t="str">
        <f t="shared" si="0"/>
        <v/>
      </c>
      <c r="AF69" s="460"/>
      <c r="AG69" s="464" t="s">
        <v>180</v>
      </c>
      <c r="AH69" s="464" t="s">
        <v>152</v>
      </c>
      <c r="AI69" s="465" t="s">
        <v>163</v>
      </c>
      <c r="AJ69" s="457"/>
      <c r="AK69" s="462"/>
    </row>
    <row r="70" spans="1:37" ht="24" customHeight="1">
      <c r="A70" s="321" t="s">
        <v>127</v>
      </c>
      <c r="B70" s="466" t="str">
        <f ca="1">IFERROR('Compo.Relais(2)'!$AF26,"")</f>
        <v/>
      </c>
      <c r="C70" s="413" t="str">
        <f ca="1">IF(B70&lt;&gt;"",INDEX(Perf.Sprint!$C$4:$C$41,MATCH(B70,Perf.Sprint!$B$4:$B$41,0)),"")</f>
        <v/>
      </c>
      <c r="D70" s="413" t="s">
        <v>149</v>
      </c>
      <c r="E70" s="413" t="str">
        <f ca="1">IFERROR('Compo.Relais(2)'!$AH26,"")</f>
        <v/>
      </c>
      <c r="F70" s="413" t="str">
        <f ca="1">IF(E70&lt;&gt;"",INDEX(Perf.Sprint!$C$4:$C$41,MATCH(E70,Perf.Sprint!$B$4:$B$41,0)),"")</f>
        <v/>
      </c>
      <c r="G70" s="413"/>
      <c r="H70" s="414"/>
      <c r="I70" s="415" t="str">
        <f ca="1">IF(B70&lt;&gt;0,INDEX(Perf.Sprint!$BJ$4:$BJ$40,MATCH(B70,Perf.Sprint!$B$4:$B$40,0)),"")</f>
        <v/>
      </c>
      <c r="J70" s="415" t="str">
        <f ca="1">IF(E70&lt;&gt;0,INDEX(Perf.Sprint!$BG$4:$BG$40,MATCH(E70,Perf.Sprint!$B$4:$B$40,0)),"")</f>
        <v/>
      </c>
      <c r="K70" s="416" t="str">
        <f t="shared" ref="K70:K71" ca="1" si="199">IFERROR(SUM(I70+J70),"")</f>
        <v/>
      </c>
      <c r="L70" s="413" t="str">
        <f t="shared" ref="L70:L71" ca="1" si="200">IF(K70="","",ROUND($J$2/K70,1))</f>
        <v/>
      </c>
      <c r="M70" s="417" t="str">
        <f t="shared" ref="M70:M71" ca="1" si="201">IF(K70="","",(L70*3600)/1000)</f>
        <v/>
      </c>
      <c r="N70" s="418"/>
      <c r="O70" s="419" t="str">
        <f t="shared" ref="O70:O71" si="202">IFERROR(IF(N70="","",ROUND($J$2/N70,1)),"")</f>
        <v/>
      </c>
      <c r="P70" s="420" t="str">
        <f t="shared" ref="P70:P71" si="203">IF(O70&lt;&gt;"",(O70*3600)/1000,"")</f>
        <v/>
      </c>
      <c r="Q70" s="467"/>
      <c r="R70" s="422"/>
      <c r="S70" s="423"/>
      <c r="T70" s="423"/>
      <c r="U70" s="424"/>
      <c r="V70" s="425" t="str">
        <f t="shared" ref="V70" si="204">IF(COUNT(N70:N71)=2,SUM(N70:N71),"")</f>
        <v/>
      </c>
      <c r="W70" s="426" t="str">
        <f t="shared" ref="W70:W71" ca="1" si="205">IF($V70="","",IF(OR(AND(C70="M",F70="F"),AND(C70="F",F70="M")),VLOOKUP($V70,INDIRECT("rel"),1),VLOOKUP($V70,INDIRECT(C70&amp;"rel"),1)))</f>
        <v/>
      </c>
      <c r="X70" s="426" t="str">
        <f t="shared" ref="X70:X71" ca="1" si="206">IFERROR(IF(OR(AND(C70="M",F70="F"),AND(C70="F",F70="M")),INDEX(INDIRECT("rel"),MATCH($V70,INDIRECT("rel"))+1),INDEX(INDIRECT(C70&amp;"rel"),MATCH($V70,INDIRECT(C70&amp;"rel"))+1)),"")</f>
        <v/>
      </c>
      <c r="Y70" s="426" t="str">
        <f t="shared" ref="Y70:Y71" ca="1" si="207">IF(X70="",W70,IF(V70=W70,W70,X70))</f>
        <v/>
      </c>
      <c r="Z70" s="427" t="str">
        <f ca="1">IF(Y70="","",IF(OR(AND(C70="M",F70="F"),AND(C70="F",F70="M")),VLOOKUP(Y70,relais,3),IF(C70="F",VLOOKUP(Y70,relaisf,7),VLOOKUP(Y70,relaisg,5))))</f>
        <v/>
      </c>
      <c r="AA70" s="428" t="str">
        <f t="shared" ref="AA70" ca="1" si="208">IFERROR(AVERAGE(Z70,Z71),"")</f>
        <v/>
      </c>
      <c r="AB70" s="471" t="str">
        <f t="shared" ref="AB70:AB71" si="209">IFERROR(IF(COUNT($N70)=1,($N70/K70)-1,""),"")</f>
        <v/>
      </c>
      <c r="AC70" s="430" t="str">
        <f>IF($AB70&lt;&gt;"",INDEX(Barème!$AI$3:$AI$28,MATCH($AB70,Barème!$AH$3:$AH$28,-1)),"")</f>
        <v/>
      </c>
      <c r="AD70" s="428" t="str">
        <f t="shared" ref="AD70" si="210">IF(COUNT(AC70:AC71)&gt;1,AVERAGE(AC70,AC71),"")</f>
        <v/>
      </c>
      <c r="AE70" s="431" t="str">
        <f t="shared" si="0"/>
        <v/>
      </c>
      <c r="AF70" s="428" t="str">
        <f t="shared" ref="AF70" si="211">IFERROR(AVERAGE(AE70:AE71),"")</f>
        <v/>
      </c>
      <c r="AG70" s="432" t="str">
        <f t="shared" ref="AG70:AG71" si="212">IF(COUNTA(R70:S70)=2,COUNTIF(R70:S70,"OUI"),"")</f>
        <v/>
      </c>
      <c r="AH70" s="433" t="str">
        <f t="shared" ref="AH70:AH71" si="213">IF(COUNTA(U70)=1,COUNTIF(U70,"OUI"),"")</f>
        <v/>
      </c>
      <c r="AI70" s="434" t="str">
        <f t="shared" ref="AI70:AI71" si="214">IF(COUNTA(S70:T70)=2,COUNTIF(S70:T70,"OUI"),"")</f>
        <v/>
      </c>
      <c r="AJ70" s="428" t="str">
        <f t="shared" ref="AJ70" si="215">IF(COUNT(AG70:AH70,AI71)=3,MROUND(SUM(AG70,AH70,AI71),0.25),"")</f>
        <v/>
      </c>
      <c r="AK70" s="428" t="str">
        <f t="shared" ref="AK70:AK71" si="216">IFERROR((AF70/4)*3+(AJ70/5)*3,"")</f>
        <v/>
      </c>
    </row>
    <row r="71" spans="1:37" ht="24" customHeight="1" thickBot="1">
      <c r="A71" s="321" t="s">
        <v>128</v>
      </c>
      <c r="B71" s="468" t="str">
        <f t="shared" ref="B71" ca="1" si="217">E70</f>
        <v/>
      </c>
      <c r="C71" s="436" t="str">
        <f ca="1">IF(B71&lt;&gt;"",INDEX(Perf.Sprint!$C$4:$C$41,MATCH(B71,Perf.Sprint!$B$4:$B$41,0)),"")</f>
        <v/>
      </c>
      <c r="D71" s="436" t="s">
        <v>149</v>
      </c>
      <c r="E71" s="436" t="str">
        <f t="shared" ref="E71" ca="1" si="218">B70</f>
        <v/>
      </c>
      <c r="F71" s="436" t="str">
        <f ca="1">IF(E71&lt;&gt;"",INDEX(Perf.Sprint!$C$4:$C$41,MATCH(E71,Perf.Sprint!$B$4:$B$41,0)),"")</f>
        <v/>
      </c>
      <c r="G71" s="436"/>
      <c r="H71" s="437"/>
      <c r="I71" s="438" t="str">
        <f ca="1">IF(B71&lt;&gt;0,INDEX(Perf.Sprint!$BJ$4:$BJ$40,MATCH(B71,Perf.Sprint!$B$4:$B$40,0)),"")</f>
        <v/>
      </c>
      <c r="J71" s="438" t="str">
        <f ca="1">IF(E71&lt;&gt;0,INDEX(Perf.Sprint!$BG$4:$BG$40,MATCH(E71,Perf.Sprint!$B$4:$B$40,0)),"")</f>
        <v/>
      </c>
      <c r="K71" s="438" t="str">
        <f t="shared" ca="1" si="199"/>
        <v/>
      </c>
      <c r="L71" s="436" t="str">
        <f t="shared" ca="1" si="200"/>
        <v/>
      </c>
      <c r="M71" s="439" t="str">
        <f t="shared" ca="1" si="201"/>
        <v/>
      </c>
      <c r="N71" s="440"/>
      <c r="O71" s="441" t="str">
        <f t="shared" si="202"/>
        <v/>
      </c>
      <c r="P71" s="442" t="str">
        <f t="shared" si="203"/>
        <v/>
      </c>
      <c r="Q71" s="469"/>
      <c r="R71" s="444"/>
      <c r="S71" s="445"/>
      <c r="T71" s="445"/>
      <c r="U71" s="446"/>
      <c r="V71" s="447" t="str">
        <f t="shared" ref="V71" si="219">IF(COUNT(N70:N71)=2,SUM(N70:N71),"")</f>
        <v/>
      </c>
      <c r="W71" s="448" t="str">
        <f t="shared" ca="1" si="205"/>
        <v/>
      </c>
      <c r="X71" s="448" t="str">
        <f t="shared" ca="1" si="206"/>
        <v/>
      </c>
      <c r="Y71" s="448" t="str">
        <f t="shared" ca="1" si="207"/>
        <v/>
      </c>
      <c r="Z71" s="449" t="str">
        <f ca="1">IF(Y71="","",IF(OR(AND(C71="M",F71="F"),AND(C71="F",F71="M")),VLOOKUP(Y71,relais,3),IF(C71="F",VLOOKUP(Y71,relaisf,7),VLOOKUP(Y71,relaisg,5))))</f>
        <v/>
      </c>
      <c r="AA71" s="450" t="str">
        <f t="shared" ref="AA71" ca="1" si="220">IFERROR(AVERAGE(Z70,Z71),"")</f>
        <v/>
      </c>
      <c r="AB71" s="472" t="str">
        <f t="shared" si="209"/>
        <v/>
      </c>
      <c r="AC71" s="452" t="str">
        <f>IF($AB71&lt;&gt;"",INDEX(Barème!$AI$3:$AI$28,MATCH($AB71,Barème!$AH$3:$AH$28,-1)),"")</f>
        <v/>
      </c>
      <c r="AD71" s="450" t="str">
        <f t="shared" ref="AD71" si="221">IF(COUNT(AC70:AC71)&gt;1,AVERAGE(AC70,AC71),"")</f>
        <v/>
      </c>
      <c r="AE71" s="453" t="str">
        <f t="shared" ref="AE71:AE80" si="222">IFERROR(INDEX(Pts_Zone,MATCH(Q71,Zone,0)),"")</f>
        <v/>
      </c>
      <c r="AF71" s="450" t="str">
        <f t="shared" ref="AF71" si="223">IFERROR(AVERAGE(AE71,AE70),"")</f>
        <v/>
      </c>
      <c r="AG71" s="475" t="str">
        <f t="shared" si="212"/>
        <v/>
      </c>
      <c r="AH71" s="433" t="str">
        <f t="shared" si="213"/>
        <v/>
      </c>
      <c r="AI71" s="434" t="str">
        <f t="shared" si="214"/>
        <v/>
      </c>
      <c r="AJ71" s="450" t="str">
        <f t="shared" ref="AJ71" si="224">IF(COUNT(AG71:AH71,AI70)=3,MROUND(SUM(AG71,AH71,AI70),0.25),"")</f>
        <v/>
      </c>
      <c r="AK71" s="450" t="str">
        <f t="shared" si="216"/>
        <v/>
      </c>
    </row>
    <row r="72" spans="1:37" ht="15.75" thickBot="1">
      <c r="A72" s="330">
        <v>24</v>
      </c>
      <c r="B72" s="394" t="s">
        <v>176</v>
      </c>
      <c r="C72" s="395" t="s">
        <v>134</v>
      </c>
      <c r="D72" s="396"/>
      <c r="E72" s="396" t="s">
        <v>177</v>
      </c>
      <c r="F72" s="396" t="s">
        <v>134</v>
      </c>
      <c r="G72" s="396"/>
      <c r="H72" s="399" t="s">
        <v>187</v>
      </c>
      <c r="I72" s="398">
        <v>54</v>
      </c>
      <c r="J72" s="398">
        <v>25</v>
      </c>
      <c r="K72" s="399" t="s">
        <v>178</v>
      </c>
      <c r="L72" s="400" t="s">
        <v>139</v>
      </c>
      <c r="M72" s="397" t="s">
        <v>140</v>
      </c>
      <c r="N72" s="401" t="s">
        <v>126</v>
      </c>
      <c r="O72" s="400" t="s">
        <v>139</v>
      </c>
      <c r="P72" s="402" t="s">
        <v>140</v>
      </c>
      <c r="Q72" s="403" t="s">
        <v>170</v>
      </c>
      <c r="R72" s="454" t="s">
        <v>180</v>
      </c>
      <c r="S72" s="455" t="s">
        <v>181</v>
      </c>
      <c r="T72" s="455" t="s">
        <v>182</v>
      </c>
      <c r="U72" s="456" t="s">
        <v>183</v>
      </c>
      <c r="V72" s="457"/>
      <c r="W72" s="458"/>
      <c r="X72" s="458"/>
      <c r="Y72" s="458"/>
      <c r="Z72" s="459"/>
      <c r="AA72" s="460"/>
      <c r="AB72" s="470" t="s">
        <v>188</v>
      </c>
      <c r="AC72" s="411"/>
      <c r="AD72" s="462"/>
      <c r="AE72" s="463" t="str">
        <f t="shared" si="222"/>
        <v/>
      </c>
      <c r="AF72" s="460"/>
      <c r="AG72" s="464" t="s">
        <v>180</v>
      </c>
      <c r="AH72" s="464" t="s">
        <v>152</v>
      </c>
      <c r="AI72" s="465" t="s">
        <v>163</v>
      </c>
      <c r="AJ72" s="457"/>
      <c r="AK72" s="462"/>
    </row>
    <row r="73" spans="1:37" ht="24" customHeight="1">
      <c r="A73" s="321" t="s">
        <v>127</v>
      </c>
      <c r="B73" s="466" t="str">
        <f ca="1">IFERROR('Compo.Relais(2)'!$AF27,"")</f>
        <v/>
      </c>
      <c r="C73" s="413" t="str">
        <f ca="1">IF(B73&lt;&gt;"",INDEX(Perf.Sprint!$C$4:$C$41,MATCH(B73,Perf.Sprint!$B$4:$B$41,0)),"")</f>
        <v/>
      </c>
      <c r="D73" s="413" t="s">
        <v>149</v>
      </c>
      <c r="E73" s="413" t="str">
        <f ca="1">IFERROR('Compo.Relais(2)'!$AH27,"")</f>
        <v/>
      </c>
      <c r="F73" s="413" t="str">
        <f ca="1">IF(E73&lt;&gt;"",INDEX(Perf.Sprint!$C$4:$C$41,MATCH(E73,Perf.Sprint!$B$4:$B$41,0)),"")</f>
        <v/>
      </c>
      <c r="G73" s="413"/>
      <c r="H73" s="414"/>
      <c r="I73" s="415" t="str">
        <f ca="1">IF(B73&lt;&gt;0,INDEX(Perf.Sprint!$BJ$4:$BJ$40,MATCH(B73,Perf.Sprint!$B$4:$B$40,0)),"")</f>
        <v/>
      </c>
      <c r="J73" s="415" t="str">
        <f ca="1">IF(E73&lt;&gt;0,INDEX(Perf.Sprint!$BG$4:$BG$40,MATCH(E73,Perf.Sprint!$B$4:$B$40,0)),"")</f>
        <v/>
      </c>
      <c r="K73" s="416" t="str">
        <f t="shared" ref="K73:K74" ca="1" si="225">IFERROR(SUM(I73+J73),"")</f>
        <v/>
      </c>
      <c r="L73" s="413" t="str">
        <f t="shared" ref="L73:L74" ca="1" si="226">IF(K73="","",ROUND($J$2/K73,1))</f>
        <v/>
      </c>
      <c r="M73" s="417" t="str">
        <f t="shared" ref="M73:M74" ca="1" si="227">IF(K73="","",(L73*3600)/1000)</f>
        <v/>
      </c>
      <c r="N73" s="418"/>
      <c r="O73" s="419" t="str">
        <f t="shared" ref="O73:O74" si="228">IFERROR(IF(N73="","",ROUND($J$2/N73,1)),"")</f>
        <v/>
      </c>
      <c r="P73" s="420" t="str">
        <f t="shared" ref="P73:P74" si="229">IF(O73&lt;&gt;"",(O73*3600)/1000,"")</f>
        <v/>
      </c>
      <c r="Q73" s="467"/>
      <c r="R73" s="422"/>
      <c r="S73" s="423"/>
      <c r="T73" s="423"/>
      <c r="U73" s="424"/>
      <c r="V73" s="425" t="str">
        <f t="shared" ref="V73" si="230">IF(COUNT(N73:N74)=2,SUM(N73:N74),"")</f>
        <v/>
      </c>
      <c r="W73" s="426" t="str">
        <f t="shared" ref="W73:W74" ca="1" si="231">IF($V73="","",IF(OR(AND(C73="M",F73="F"),AND(C73="F",F73="M")),VLOOKUP($V73,INDIRECT("rel"),1),VLOOKUP($V73,INDIRECT(C73&amp;"rel"),1)))</f>
        <v/>
      </c>
      <c r="X73" s="426" t="str">
        <f t="shared" ref="X73:X74" ca="1" si="232">IFERROR(IF(OR(AND(C73="M",F73="F"),AND(C73="F",F73="M")),INDEX(INDIRECT("rel"),MATCH($V73,INDIRECT("rel"))+1),INDEX(INDIRECT(C73&amp;"rel"),MATCH($V73,INDIRECT(C73&amp;"rel"))+1)),"")</f>
        <v/>
      </c>
      <c r="Y73" s="426" t="str">
        <f t="shared" ref="Y73:Y74" ca="1" si="233">IF(X73="",W73,IF(V73=W73,W73,X73))</f>
        <v/>
      </c>
      <c r="Z73" s="427" t="str">
        <f ca="1">IF(Y73="","",IF(OR(AND(C73="M",F73="F"),AND(C73="F",F73="M")),VLOOKUP(Y73,relais,3),IF(C73="F",VLOOKUP(Y73,relaisf,7),VLOOKUP(Y73,relaisg,5))))</f>
        <v/>
      </c>
      <c r="AA73" s="428" t="str">
        <f t="shared" ref="AA73" ca="1" si="234">IFERROR(AVERAGE(Z73,Z74),"")</f>
        <v/>
      </c>
      <c r="AB73" s="471" t="str">
        <f t="shared" ref="AB73:AB74" si="235">IFERROR(IF(COUNT($N73)=1,($N73/K73)-1,""),"")</f>
        <v/>
      </c>
      <c r="AC73" s="430" t="str">
        <f>IF($AB73&lt;&gt;"",INDEX(Barème!$AI$3:$AI$28,MATCH($AB73,Barème!$AH$3:$AH$28,-1)),"")</f>
        <v/>
      </c>
      <c r="AD73" s="428" t="str">
        <f t="shared" ref="AD73" si="236">IF(COUNT(AC73:AC74)&gt;1,AVERAGE(AC73,AC74),"")</f>
        <v/>
      </c>
      <c r="AE73" s="431" t="str">
        <f t="shared" si="222"/>
        <v/>
      </c>
      <c r="AF73" s="428" t="str">
        <f t="shared" ref="AF73" si="237">IFERROR(AVERAGE(AE73:AE74),"")</f>
        <v/>
      </c>
      <c r="AG73" s="432" t="str">
        <f t="shared" ref="AG73:AG74" si="238">IF(COUNTA(R73:S73)=2,COUNTIF(R73:S73,"OUI"),"")</f>
        <v/>
      </c>
      <c r="AH73" s="433" t="str">
        <f t="shared" ref="AH73:AH74" si="239">IF(COUNTA(U73)=1,COUNTIF(U73,"OUI"),"")</f>
        <v/>
      </c>
      <c r="AI73" s="434" t="str">
        <f t="shared" ref="AI73:AI74" si="240">IF(COUNTA(S73:T73)=2,COUNTIF(S73:T73,"OUI"),"")</f>
        <v/>
      </c>
      <c r="AJ73" s="428" t="str">
        <f t="shared" ref="AJ73" si="241">IF(COUNT(AG73:AH73,AI74)=3,MROUND(SUM(AG73,AH73,AI74),0.25),"")</f>
        <v/>
      </c>
      <c r="AK73" s="428" t="str">
        <f t="shared" ref="AK73:AK74" si="242">IFERROR((AF73/4)*3+(AJ73/5)*3,"")</f>
        <v/>
      </c>
    </row>
    <row r="74" spans="1:37" ht="24" customHeight="1" thickBot="1">
      <c r="A74" s="321" t="s">
        <v>128</v>
      </c>
      <c r="B74" s="468" t="str">
        <f t="shared" ref="B74" ca="1" si="243">E73</f>
        <v/>
      </c>
      <c r="C74" s="436" t="str">
        <f ca="1">IF(B74&lt;&gt;"",INDEX(Perf.Sprint!$C$4:$C$41,MATCH(B74,Perf.Sprint!$B$4:$B$41,0)),"")</f>
        <v/>
      </c>
      <c r="D74" s="436" t="s">
        <v>149</v>
      </c>
      <c r="E74" s="436" t="str">
        <f t="shared" ref="E74" ca="1" si="244">B73</f>
        <v/>
      </c>
      <c r="F74" s="436" t="str">
        <f ca="1">IF(E74&lt;&gt;"",INDEX(Perf.Sprint!$C$4:$C$41,MATCH(E74,Perf.Sprint!$B$4:$B$41,0)),"")</f>
        <v/>
      </c>
      <c r="G74" s="436"/>
      <c r="H74" s="437"/>
      <c r="I74" s="438" t="str">
        <f ca="1">IF(B74&lt;&gt;0,INDEX(Perf.Sprint!$BJ$4:$BJ$40,MATCH(B74,Perf.Sprint!$B$4:$B$40,0)),"")</f>
        <v/>
      </c>
      <c r="J74" s="438" t="str">
        <f ca="1">IF(E74&lt;&gt;0,INDEX(Perf.Sprint!$BG$4:$BG$40,MATCH(E74,Perf.Sprint!$B$4:$B$40,0)),"")</f>
        <v/>
      </c>
      <c r="K74" s="438" t="str">
        <f t="shared" ca="1" si="225"/>
        <v/>
      </c>
      <c r="L74" s="436" t="str">
        <f t="shared" ca="1" si="226"/>
        <v/>
      </c>
      <c r="M74" s="439" t="str">
        <f t="shared" ca="1" si="227"/>
        <v/>
      </c>
      <c r="N74" s="440"/>
      <c r="O74" s="441" t="str">
        <f t="shared" si="228"/>
        <v/>
      </c>
      <c r="P74" s="442" t="str">
        <f t="shared" si="229"/>
        <v/>
      </c>
      <c r="Q74" s="469"/>
      <c r="R74" s="444"/>
      <c r="S74" s="445"/>
      <c r="T74" s="445"/>
      <c r="U74" s="446"/>
      <c r="V74" s="447" t="str">
        <f t="shared" ref="V74" si="245">IF(COUNT(N73:N74)=2,SUM(N73:N74),"")</f>
        <v/>
      </c>
      <c r="W74" s="448" t="str">
        <f t="shared" ca="1" si="231"/>
        <v/>
      </c>
      <c r="X74" s="448" t="str">
        <f t="shared" ca="1" si="232"/>
        <v/>
      </c>
      <c r="Y74" s="448" t="str">
        <f t="shared" ca="1" si="233"/>
        <v/>
      </c>
      <c r="Z74" s="449" t="str">
        <f ca="1">IF(Y74="","",IF(OR(AND(C74="M",F74="F"),AND(C74="F",F74="M")),VLOOKUP(Y74,relais,3),IF(C74="F",VLOOKUP(Y74,relaisf,7),VLOOKUP(Y74,relaisg,5))))</f>
        <v/>
      </c>
      <c r="AA74" s="450" t="str">
        <f t="shared" ref="AA74" ca="1" si="246">IFERROR(AVERAGE(Z73,Z74),"")</f>
        <v/>
      </c>
      <c r="AB74" s="472" t="str">
        <f t="shared" si="235"/>
        <v/>
      </c>
      <c r="AC74" s="452" t="str">
        <f>IF($AB74&lt;&gt;"",INDEX(Barème!$AI$3:$AI$28,MATCH($AB74,Barème!$AH$3:$AH$28,-1)),"")</f>
        <v/>
      </c>
      <c r="AD74" s="450" t="str">
        <f t="shared" ref="AD74" si="247">IF(COUNT(AC73:AC74)&gt;1,AVERAGE(AC73,AC74),"")</f>
        <v/>
      </c>
      <c r="AE74" s="453" t="str">
        <f t="shared" si="222"/>
        <v/>
      </c>
      <c r="AF74" s="450" t="str">
        <f t="shared" ref="AF74" si="248">IFERROR(AVERAGE(AE74,AE73),"")</f>
        <v/>
      </c>
      <c r="AG74" s="475" t="str">
        <f t="shared" si="238"/>
        <v/>
      </c>
      <c r="AH74" s="433" t="str">
        <f t="shared" si="239"/>
        <v/>
      </c>
      <c r="AI74" s="434" t="str">
        <f t="shared" si="240"/>
        <v/>
      </c>
      <c r="AJ74" s="450" t="str">
        <f t="shared" ref="AJ74" si="249">IF(COUNT(AG74:AH74,AI73)=3,MROUND(SUM(AG74,AH74,AI73),0.25),"")</f>
        <v/>
      </c>
      <c r="AK74" s="450" t="str">
        <f t="shared" si="242"/>
        <v/>
      </c>
    </row>
    <row r="75" spans="1:37" ht="15" customHeight="1" thickBot="1">
      <c r="A75" s="330">
        <v>25</v>
      </c>
      <c r="B75" s="394" t="s">
        <v>176</v>
      </c>
      <c r="C75" s="395" t="s">
        <v>134</v>
      </c>
      <c r="D75" s="396"/>
      <c r="E75" s="396" t="s">
        <v>177</v>
      </c>
      <c r="F75" s="396" t="s">
        <v>134</v>
      </c>
      <c r="G75" s="396"/>
      <c r="H75" s="399" t="s">
        <v>187</v>
      </c>
      <c r="I75" s="398">
        <v>54</v>
      </c>
      <c r="J75" s="398">
        <v>25</v>
      </c>
      <c r="K75" s="399" t="s">
        <v>178</v>
      </c>
      <c r="L75" s="400" t="s">
        <v>139</v>
      </c>
      <c r="M75" s="397" t="s">
        <v>140</v>
      </c>
      <c r="N75" s="401" t="s">
        <v>126</v>
      </c>
      <c r="O75" s="400" t="s">
        <v>139</v>
      </c>
      <c r="P75" s="402" t="s">
        <v>140</v>
      </c>
      <c r="Q75" s="403" t="s">
        <v>170</v>
      </c>
      <c r="R75" s="454" t="s">
        <v>180</v>
      </c>
      <c r="S75" s="455" t="s">
        <v>181</v>
      </c>
      <c r="T75" s="455" t="s">
        <v>182</v>
      </c>
      <c r="U75" s="456" t="s">
        <v>183</v>
      </c>
      <c r="V75" s="457"/>
      <c r="W75" s="458"/>
      <c r="X75" s="458"/>
      <c r="Y75" s="458"/>
      <c r="Z75" s="459"/>
      <c r="AA75" s="460"/>
      <c r="AB75" s="470" t="s">
        <v>188</v>
      </c>
      <c r="AC75" s="411"/>
      <c r="AD75" s="462"/>
      <c r="AE75" s="463" t="str">
        <f t="shared" si="222"/>
        <v/>
      </c>
      <c r="AF75" s="460"/>
      <c r="AG75" s="464" t="s">
        <v>180</v>
      </c>
      <c r="AH75" s="464" t="s">
        <v>152</v>
      </c>
      <c r="AI75" s="465" t="s">
        <v>163</v>
      </c>
      <c r="AJ75" s="457"/>
      <c r="AK75" s="462"/>
    </row>
    <row r="76" spans="1:37" ht="24" customHeight="1">
      <c r="A76" s="321" t="s">
        <v>127</v>
      </c>
      <c r="B76" s="466" t="str">
        <f ca="1">IFERROR('Compo.Relais(2)'!$AF28,"")</f>
        <v/>
      </c>
      <c r="C76" s="413" t="str">
        <f ca="1">IF(B76&lt;&gt;"",INDEX(Perf.Sprint!$C$4:$C$41,MATCH(B76,Perf.Sprint!$B$4:$B$41,0)),"")</f>
        <v/>
      </c>
      <c r="D76" s="413" t="s">
        <v>149</v>
      </c>
      <c r="E76" s="413" t="str">
        <f ca="1">IFERROR('Compo.Relais(2)'!$AH28,"")</f>
        <v/>
      </c>
      <c r="F76" s="413" t="str">
        <f ca="1">IF(E76&lt;&gt;"",INDEX(Perf.Sprint!$C$4:$C$41,MATCH(E76,Perf.Sprint!$B$4:$B$41,0)),"")</f>
        <v/>
      </c>
      <c r="G76" s="413"/>
      <c r="H76" s="414"/>
      <c r="I76" s="415" t="str">
        <f ca="1">IF(B76&lt;&gt;0,INDEX(Perf.Sprint!$BJ$4:$BJ$40,MATCH(B76,Perf.Sprint!$B$4:$B$40,0)),"")</f>
        <v/>
      </c>
      <c r="J76" s="415" t="str">
        <f ca="1">IF(E76&lt;&gt;0,INDEX(Perf.Sprint!$BG$4:$BG$40,MATCH(E76,Perf.Sprint!$B$4:$B$40,0)),"")</f>
        <v/>
      </c>
      <c r="K76" s="416" t="str">
        <f t="shared" ref="K76:K77" ca="1" si="250">IFERROR(SUM(I76+J76),"")</f>
        <v/>
      </c>
      <c r="L76" s="413" t="str">
        <f t="shared" ref="L76:L77" ca="1" si="251">IF(K76="","",ROUND($J$2/K76,1))</f>
        <v/>
      </c>
      <c r="M76" s="417" t="str">
        <f t="shared" ref="M76:M77" ca="1" si="252">IF(K76="","",(L76*3600)/1000)</f>
        <v/>
      </c>
      <c r="N76" s="418"/>
      <c r="O76" s="419" t="str">
        <f t="shared" ref="O76:O77" si="253">IFERROR(IF(N76="","",ROUND($J$2/N76,1)),"")</f>
        <v/>
      </c>
      <c r="P76" s="420" t="str">
        <f t="shared" ref="P76:P77" si="254">IF(O76&lt;&gt;"",(O76*3600)/1000,"")</f>
        <v/>
      </c>
      <c r="Q76" s="467"/>
      <c r="R76" s="422"/>
      <c r="S76" s="423"/>
      <c r="T76" s="423"/>
      <c r="U76" s="424"/>
      <c r="V76" s="425" t="str">
        <f t="shared" ref="V76" si="255">IF(COUNT(N76:N77)=2,SUM(N76:N77),"")</f>
        <v/>
      </c>
      <c r="W76" s="426" t="str">
        <f t="shared" ref="W76:W77" ca="1" si="256">IF($V76="","",IF(OR(AND(C76="M",F76="F"),AND(C76="F",F76="M")),VLOOKUP($V76,INDIRECT("rel"),1),VLOOKUP($V76,INDIRECT(C76&amp;"rel"),1)))</f>
        <v/>
      </c>
      <c r="X76" s="426" t="str">
        <f t="shared" ref="X76:X77" ca="1" si="257">IFERROR(IF(OR(AND(C76="M",F76="F"),AND(C76="F",F76="M")),INDEX(INDIRECT("rel"),MATCH($V76,INDIRECT("rel"))+1),INDEX(INDIRECT(C76&amp;"rel"),MATCH($V76,INDIRECT(C76&amp;"rel"))+1)),"")</f>
        <v/>
      </c>
      <c r="Y76" s="426" t="str">
        <f t="shared" ref="Y76:Y77" ca="1" si="258">IF(X76="",W76,IF(V76=W76,W76,X76))</f>
        <v/>
      </c>
      <c r="Z76" s="427" t="str">
        <f ca="1">IF(Y76="","",IF(OR(AND(C76="M",F76="F"),AND(C76="F",F76="M")),VLOOKUP(Y76,relais,3),IF(C76="F",VLOOKUP(Y76,relaisf,7),VLOOKUP(Y76,relaisg,5))))</f>
        <v/>
      </c>
      <c r="AA76" s="428" t="str">
        <f t="shared" ref="AA76" ca="1" si="259">IFERROR(AVERAGE(Z76,Z77),"")</f>
        <v/>
      </c>
      <c r="AB76" s="471" t="str">
        <f t="shared" ref="AB76:AB77" si="260">IFERROR(IF(COUNT($N76)=1,($N76/K76)-1,""),"")</f>
        <v/>
      </c>
      <c r="AC76" s="430" t="str">
        <f>IF($AB76&lt;&gt;"",INDEX(Barème!$AI$3:$AI$28,MATCH($AB76,Barème!$AH$3:$AH$28,-1)),"")</f>
        <v/>
      </c>
      <c r="AD76" s="428" t="str">
        <f t="shared" ref="AD76" si="261">IF(COUNT(AC76:AC77)&gt;1,AVERAGE(AC76,AC77),"")</f>
        <v/>
      </c>
      <c r="AE76" s="431" t="str">
        <f t="shared" si="222"/>
        <v/>
      </c>
      <c r="AF76" s="428" t="str">
        <f t="shared" ref="AF76" si="262">IFERROR(AVERAGE(AE76:AE77),"")</f>
        <v/>
      </c>
      <c r="AG76" s="432" t="str">
        <f t="shared" ref="AG76:AG77" si="263">IF(COUNTA(R76:S76)=2,COUNTIF(R76:S76,"OUI"),"")</f>
        <v/>
      </c>
      <c r="AH76" s="433" t="str">
        <f t="shared" ref="AH76:AH77" si="264">IF(COUNTA(U76)=1,COUNTIF(U76,"OUI"),"")</f>
        <v/>
      </c>
      <c r="AI76" s="434" t="str">
        <f t="shared" ref="AI76:AI77" si="265">IF(COUNTA(S76:T76)=2,COUNTIF(S76:T76,"OUI"),"")</f>
        <v/>
      </c>
      <c r="AJ76" s="428" t="str">
        <f t="shared" ref="AJ76" si="266">IF(COUNT(AG76:AH76,AI77)=3,MROUND(SUM(AG76,AH76,AI77),0.25),"")</f>
        <v/>
      </c>
      <c r="AK76" s="428" t="str">
        <f t="shared" ref="AK76:AK77" si="267">IFERROR((AF76/4)*3+(AJ76/5)*3,"")</f>
        <v/>
      </c>
    </row>
    <row r="77" spans="1:37" ht="24" customHeight="1" thickBot="1">
      <c r="A77" s="321" t="s">
        <v>128</v>
      </c>
      <c r="B77" s="468" t="str">
        <f t="shared" ref="B77" ca="1" si="268">E76</f>
        <v/>
      </c>
      <c r="C77" s="436" t="str">
        <f ca="1">IF(B77&lt;&gt;"",INDEX(Perf.Sprint!$C$4:$C$41,MATCH(B77,Perf.Sprint!$B$4:$B$41,0)),"")</f>
        <v/>
      </c>
      <c r="D77" s="436" t="s">
        <v>149</v>
      </c>
      <c r="E77" s="436" t="str">
        <f t="shared" ref="E77" ca="1" si="269">B76</f>
        <v/>
      </c>
      <c r="F77" s="436" t="str">
        <f ca="1">IF(E77&lt;&gt;"",INDEX(Perf.Sprint!$C$4:$C$41,MATCH(E77,Perf.Sprint!$B$4:$B$41,0)),"")</f>
        <v/>
      </c>
      <c r="G77" s="436"/>
      <c r="H77" s="437"/>
      <c r="I77" s="438" t="str">
        <f ca="1">IF(B77&lt;&gt;0,INDEX(Perf.Sprint!$BJ$4:$BJ$40,MATCH(B77,Perf.Sprint!$B$4:$B$40,0)),"")</f>
        <v/>
      </c>
      <c r="J77" s="438" t="str">
        <f ca="1">IF(E77&lt;&gt;0,INDEX(Perf.Sprint!$BG$4:$BG$40,MATCH(E77,Perf.Sprint!$B$4:$B$40,0)),"")</f>
        <v/>
      </c>
      <c r="K77" s="438" t="str">
        <f t="shared" ca="1" si="250"/>
        <v/>
      </c>
      <c r="L77" s="436" t="str">
        <f t="shared" ca="1" si="251"/>
        <v/>
      </c>
      <c r="M77" s="439" t="str">
        <f t="shared" ca="1" si="252"/>
        <v/>
      </c>
      <c r="N77" s="440"/>
      <c r="O77" s="441" t="str">
        <f t="shared" si="253"/>
        <v/>
      </c>
      <c r="P77" s="442" t="str">
        <f t="shared" si="254"/>
        <v/>
      </c>
      <c r="Q77" s="469"/>
      <c r="R77" s="444"/>
      <c r="S77" s="445"/>
      <c r="T77" s="445"/>
      <c r="U77" s="446"/>
      <c r="V77" s="447" t="str">
        <f t="shared" ref="V77" si="270">IF(COUNT(N76:N77)=2,SUM(N76:N77),"")</f>
        <v/>
      </c>
      <c r="W77" s="448" t="str">
        <f t="shared" ca="1" si="256"/>
        <v/>
      </c>
      <c r="X77" s="448" t="str">
        <f t="shared" ca="1" si="257"/>
        <v/>
      </c>
      <c r="Y77" s="448" t="str">
        <f t="shared" ca="1" si="258"/>
        <v/>
      </c>
      <c r="Z77" s="449" t="str">
        <f ca="1">IF(Y77="","",IF(OR(AND(C77="M",F77="F"),AND(C77="F",F77="M")),VLOOKUP(Y77,relais,3),IF(C77="F",VLOOKUP(Y77,relaisf,7),VLOOKUP(Y77,relaisg,5))))</f>
        <v/>
      </c>
      <c r="AA77" s="450" t="str">
        <f t="shared" ref="AA77" ca="1" si="271">IFERROR(AVERAGE(Z76,Z77),"")</f>
        <v/>
      </c>
      <c r="AB77" s="472" t="str">
        <f t="shared" si="260"/>
        <v/>
      </c>
      <c r="AC77" s="452" t="str">
        <f>IF($AB77&lt;&gt;"",INDEX(Barème!$AI$3:$AI$28,MATCH($AB77,Barème!$AH$3:$AH$28,-1)),"")</f>
        <v/>
      </c>
      <c r="AD77" s="450" t="str">
        <f t="shared" ref="AD77" si="272">IF(COUNT(AC76:AC77)&gt;1,AVERAGE(AC76,AC77),"")</f>
        <v/>
      </c>
      <c r="AE77" s="453" t="str">
        <f t="shared" si="222"/>
        <v/>
      </c>
      <c r="AF77" s="450" t="str">
        <f t="shared" ref="AF77" si="273">IFERROR(AVERAGE(AE77,AE76),"")</f>
        <v/>
      </c>
      <c r="AG77" s="475" t="str">
        <f t="shared" si="263"/>
        <v/>
      </c>
      <c r="AH77" s="433" t="str">
        <f t="shared" si="264"/>
        <v/>
      </c>
      <c r="AI77" s="434" t="str">
        <f t="shared" si="265"/>
        <v/>
      </c>
      <c r="AJ77" s="450" t="str">
        <f t="shared" ref="AJ77" si="274">IF(COUNT(AG77:AH77,AI76)=3,MROUND(SUM(AG77,AH77,AI76),0.25),"")</f>
        <v/>
      </c>
      <c r="AK77" s="450" t="str">
        <f t="shared" si="267"/>
        <v/>
      </c>
    </row>
    <row r="78" spans="1:37" ht="15.75" thickBot="1">
      <c r="A78" s="330">
        <v>26</v>
      </c>
      <c r="B78" s="394" t="s">
        <v>176</v>
      </c>
      <c r="C78" s="395" t="s">
        <v>134</v>
      </c>
      <c r="D78" s="396"/>
      <c r="E78" s="396" t="s">
        <v>177</v>
      </c>
      <c r="F78" s="396" t="s">
        <v>134</v>
      </c>
      <c r="G78" s="396"/>
      <c r="H78" s="399" t="s">
        <v>187</v>
      </c>
      <c r="I78" s="398">
        <v>54</v>
      </c>
      <c r="J78" s="398">
        <v>25</v>
      </c>
      <c r="K78" s="399" t="s">
        <v>178</v>
      </c>
      <c r="L78" s="400" t="s">
        <v>139</v>
      </c>
      <c r="M78" s="397" t="s">
        <v>140</v>
      </c>
      <c r="N78" s="401" t="s">
        <v>126</v>
      </c>
      <c r="O78" s="400" t="s">
        <v>139</v>
      </c>
      <c r="P78" s="402" t="s">
        <v>140</v>
      </c>
      <c r="Q78" s="403" t="s">
        <v>170</v>
      </c>
      <c r="R78" s="454" t="s">
        <v>180</v>
      </c>
      <c r="S78" s="455" t="s">
        <v>181</v>
      </c>
      <c r="T78" s="455" t="s">
        <v>182</v>
      </c>
      <c r="U78" s="456" t="s">
        <v>183</v>
      </c>
      <c r="V78" s="457"/>
      <c r="W78" s="458"/>
      <c r="X78" s="458"/>
      <c r="Y78" s="458"/>
      <c r="Z78" s="459"/>
      <c r="AA78" s="460"/>
      <c r="AB78" s="470" t="s">
        <v>188</v>
      </c>
      <c r="AC78" s="411"/>
      <c r="AD78" s="462"/>
      <c r="AE78" s="463" t="str">
        <f t="shared" si="222"/>
        <v/>
      </c>
      <c r="AF78" s="460"/>
      <c r="AG78" s="464" t="s">
        <v>180</v>
      </c>
      <c r="AH78" s="464" t="s">
        <v>152</v>
      </c>
      <c r="AI78" s="465" t="s">
        <v>163</v>
      </c>
      <c r="AJ78" s="457"/>
      <c r="AK78" s="462"/>
    </row>
    <row r="79" spans="1:37" ht="24" customHeight="1">
      <c r="A79" s="321" t="s">
        <v>127</v>
      </c>
      <c r="B79" s="466" t="str">
        <f ca="1">IFERROR('Compo.Relais(2)'!$AF29,"")</f>
        <v/>
      </c>
      <c r="C79" s="413" t="str">
        <f ca="1">IF(B79&lt;&gt;"",INDEX(Perf.Sprint!$C$4:$C$41,MATCH(B79,Perf.Sprint!$B$4:$B$41,0)),"")</f>
        <v/>
      </c>
      <c r="D79" s="413" t="s">
        <v>149</v>
      </c>
      <c r="E79" s="413" t="str">
        <f ca="1">IFERROR('Compo.Relais(2)'!$AH29,"")</f>
        <v/>
      </c>
      <c r="F79" s="413" t="str">
        <f ca="1">IF(E79&lt;&gt;"",INDEX(Perf.Sprint!$C$4:$C$41,MATCH(E79,Perf.Sprint!$B$4:$B$41,0)),"")</f>
        <v/>
      </c>
      <c r="G79" s="413"/>
      <c r="H79" s="414"/>
      <c r="I79" s="415" t="str">
        <f ca="1">IF(B79&lt;&gt;0,INDEX(Perf.Sprint!$BJ$4:$BJ$40,MATCH(B79,Perf.Sprint!$B$4:$B$40,0)),"")</f>
        <v/>
      </c>
      <c r="J79" s="415" t="str">
        <f ca="1">IF(E79&lt;&gt;0,INDEX(Perf.Sprint!$BG$4:$BG$40,MATCH(E79,Perf.Sprint!$B$4:$B$40,0)),"")</f>
        <v/>
      </c>
      <c r="K79" s="416" t="str">
        <f t="shared" ref="K79:K80" ca="1" si="275">IFERROR(SUM(I79+J79),"")</f>
        <v/>
      </c>
      <c r="L79" s="413" t="str">
        <f t="shared" ref="L79:L80" ca="1" si="276">IF(K79="","",ROUND($J$2/K79,1))</f>
        <v/>
      </c>
      <c r="M79" s="417" t="str">
        <f t="shared" ref="M79:M80" ca="1" si="277">IF(K79="","",(L79*3600)/1000)</f>
        <v/>
      </c>
      <c r="N79" s="418"/>
      <c r="O79" s="419" t="str">
        <f t="shared" ref="O79:O80" si="278">IFERROR(IF(N79="","",ROUND($J$2/N79,1)),"")</f>
        <v/>
      </c>
      <c r="P79" s="420" t="str">
        <f t="shared" ref="P79:P80" si="279">IF(O79&lt;&gt;"",(O79*3600)/1000,"")</f>
        <v/>
      </c>
      <c r="Q79" s="467"/>
      <c r="R79" s="422"/>
      <c r="S79" s="423"/>
      <c r="T79" s="423"/>
      <c r="U79" s="424"/>
      <c r="V79" s="425" t="str">
        <f t="shared" ref="V79" si="280">IF(COUNT(N79:N80)=2,SUM(N79:N80),"")</f>
        <v/>
      </c>
      <c r="W79" s="426" t="str">
        <f t="shared" ref="W79:W80" ca="1" si="281">IF($V79="","",IF(OR(AND(C79="M",F79="F"),AND(C79="F",F79="M")),VLOOKUP($V79,INDIRECT("rel"),1),VLOOKUP($V79,INDIRECT(C79&amp;"rel"),1)))</f>
        <v/>
      </c>
      <c r="X79" s="426" t="str">
        <f t="shared" ref="X79:X80" ca="1" si="282">IFERROR(IF(OR(AND(C79="M",F79="F"),AND(C79="F",F79="M")),INDEX(INDIRECT("rel"),MATCH($V79,INDIRECT("rel"))+1),INDEX(INDIRECT(C79&amp;"rel"),MATCH($V79,INDIRECT(C79&amp;"rel"))+1)),"")</f>
        <v/>
      </c>
      <c r="Y79" s="426" t="str">
        <f t="shared" ref="Y79:Y80" ca="1" si="283">IF(X79="",W79,IF(V79=W79,W79,X79))</f>
        <v/>
      </c>
      <c r="Z79" s="427" t="str">
        <f ca="1">IF(Y79="","",IF(OR(AND(C79="M",F79="F"),AND(C79="F",F79="M")),VLOOKUP(Y79,relais,3),IF(C79="F",VLOOKUP(Y79,relaisf,7),VLOOKUP(Y79,relaisg,5))))</f>
        <v/>
      </c>
      <c r="AA79" s="428" t="str">
        <f t="shared" ref="AA79" ca="1" si="284">IFERROR(AVERAGE(Z79,Z80),"")</f>
        <v/>
      </c>
      <c r="AB79" s="471" t="str">
        <f t="shared" ref="AB79:AB80" si="285">IFERROR(IF(COUNT($N79)=1,($N79/K79)-1,""),"")</f>
        <v/>
      </c>
      <c r="AC79" s="430" t="str">
        <f>IF($AB79&lt;&gt;"",INDEX(Barème!$AI$3:$AI$28,MATCH($AB79,Barème!$AH$3:$AH$28,-1)),"")</f>
        <v/>
      </c>
      <c r="AD79" s="428" t="str">
        <f t="shared" ref="AD79" si="286">IF(COUNT(AC79:AC80)&gt;1,AVERAGE(AC79,AC80),"")</f>
        <v/>
      </c>
      <c r="AE79" s="431" t="str">
        <f t="shared" si="222"/>
        <v/>
      </c>
      <c r="AF79" s="428" t="str">
        <f t="shared" ref="AF79" si="287">IFERROR(AVERAGE(AE79:AE80),"")</f>
        <v/>
      </c>
      <c r="AG79" s="432" t="str">
        <f t="shared" ref="AG79:AG80" si="288">IF(COUNTA(R79:S79)=2,COUNTIF(R79:S79,"OUI"),"")</f>
        <v/>
      </c>
      <c r="AH79" s="433" t="str">
        <f t="shared" ref="AH79:AH80" si="289">IF(COUNTA(U79)=1,COUNTIF(U79,"OUI"),"")</f>
        <v/>
      </c>
      <c r="AI79" s="434" t="str">
        <f t="shared" ref="AI79:AI80" si="290">IF(COUNTA(S79:T79)=2,COUNTIF(S79:T79,"OUI"),"")</f>
        <v/>
      </c>
      <c r="AJ79" s="428" t="str">
        <f t="shared" ref="AJ79" si="291">IF(COUNT(AG79:AH79,AI80)=3,MROUND(SUM(AG79,AH79,AI80),0.25),"")</f>
        <v/>
      </c>
      <c r="AK79" s="428" t="str">
        <f t="shared" ref="AK79:AK80" si="292">IFERROR((AF79/4)*3+(AJ79/5)*3,"")</f>
        <v/>
      </c>
    </row>
    <row r="80" spans="1:37" ht="24" customHeight="1" thickBot="1">
      <c r="A80" s="321" t="s">
        <v>128</v>
      </c>
      <c r="B80" s="468" t="str">
        <f t="shared" ref="B80" ca="1" si="293">E79</f>
        <v/>
      </c>
      <c r="C80" s="436" t="str">
        <f ca="1">IF(B80&lt;&gt;"",INDEX(Perf.Sprint!$C$4:$C$41,MATCH(B80,Perf.Sprint!$B$4:$B$41,0)),"")</f>
        <v/>
      </c>
      <c r="D80" s="436" t="s">
        <v>149</v>
      </c>
      <c r="E80" s="436" t="str">
        <f t="shared" ref="E80" ca="1" si="294">B79</f>
        <v/>
      </c>
      <c r="F80" s="436" t="str">
        <f ca="1">IF(E80&lt;&gt;"",INDEX(Perf.Sprint!$C$4:$C$41,MATCH(E80,Perf.Sprint!$B$4:$B$41,0)),"")</f>
        <v/>
      </c>
      <c r="G80" s="436"/>
      <c r="H80" s="437"/>
      <c r="I80" s="438" t="str">
        <f ca="1">IF(B80&lt;&gt;0,INDEX(Perf.Sprint!$BJ$4:$BJ$40,MATCH(B80,Perf.Sprint!$B$4:$B$40,0)),"")</f>
        <v/>
      </c>
      <c r="J80" s="438" t="str">
        <f ca="1">IF(E80&lt;&gt;0,INDEX(Perf.Sprint!$BG$4:$BG$40,MATCH(E80,Perf.Sprint!$B$4:$B$40,0)),"")</f>
        <v/>
      </c>
      <c r="K80" s="438" t="str">
        <f t="shared" ca="1" si="275"/>
        <v/>
      </c>
      <c r="L80" s="436" t="str">
        <f t="shared" ca="1" si="276"/>
        <v/>
      </c>
      <c r="M80" s="439" t="str">
        <f t="shared" ca="1" si="277"/>
        <v/>
      </c>
      <c r="N80" s="440"/>
      <c r="O80" s="441" t="str">
        <f t="shared" si="278"/>
        <v/>
      </c>
      <c r="P80" s="442" t="str">
        <f t="shared" si="279"/>
        <v/>
      </c>
      <c r="Q80" s="469"/>
      <c r="R80" s="444"/>
      <c r="S80" s="445"/>
      <c r="T80" s="445"/>
      <c r="U80" s="446"/>
      <c r="V80" s="447" t="str">
        <f t="shared" ref="V80" si="295">IF(COUNT(N79:N80)=2,SUM(N79:N80),"")</f>
        <v/>
      </c>
      <c r="W80" s="448" t="str">
        <f t="shared" ca="1" si="281"/>
        <v/>
      </c>
      <c r="X80" s="448" t="str">
        <f t="shared" ca="1" si="282"/>
        <v/>
      </c>
      <c r="Y80" s="448" t="str">
        <f t="shared" ca="1" si="283"/>
        <v/>
      </c>
      <c r="Z80" s="449" t="str">
        <f ca="1">IF(Y80="","",IF(OR(AND(C80="M",F80="F"),AND(C80="F",F80="M")),VLOOKUP(Y80,relais,3),IF(C80="F",VLOOKUP(Y80,relaisf,7),VLOOKUP(Y80,relaisg,5))))</f>
        <v/>
      </c>
      <c r="AA80" s="450" t="str">
        <f t="shared" ref="AA80" ca="1" si="296">IFERROR(AVERAGE(Z79,Z80),"")</f>
        <v/>
      </c>
      <c r="AB80" s="472" t="str">
        <f t="shared" si="285"/>
        <v/>
      </c>
      <c r="AC80" s="452" t="str">
        <f>IF($AB80&lt;&gt;"",INDEX(Barème!$AI$3:$AI$28,MATCH($AB80,Barème!$AH$3:$AH$28,-1)),"")</f>
        <v/>
      </c>
      <c r="AD80" s="450" t="str">
        <f t="shared" ref="AD80" si="297">IF(COUNT(AC79:AC80)&gt;1,AVERAGE(AC79,AC80),"")</f>
        <v/>
      </c>
      <c r="AE80" s="453" t="str">
        <f t="shared" si="222"/>
        <v/>
      </c>
      <c r="AF80" s="450" t="str">
        <f t="shared" ref="AF80" si="298">IFERROR(AVERAGE(AE80,AE79),"")</f>
        <v/>
      </c>
      <c r="AG80" s="475" t="str">
        <f t="shared" si="288"/>
        <v/>
      </c>
      <c r="AH80" s="433" t="str">
        <f t="shared" si="289"/>
        <v/>
      </c>
      <c r="AI80" s="434" t="str">
        <f t="shared" si="290"/>
        <v/>
      </c>
      <c r="AJ80" s="450" t="str">
        <f t="shared" ref="AJ80" si="299">IF(COUNT(AG80:AH80,AI79)=3,MROUND(SUM(AG80,AH80,AI79),0.25),"")</f>
        <v/>
      </c>
      <c r="AK80" s="450" t="str">
        <f t="shared" si="292"/>
        <v/>
      </c>
    </row>
    <row r="81" spans="1:37" ht="15" customHeight="1">
      <c r="B81" s="321"/>
      <c r="F81" s="479" t="s">
        <v>103</v>
      </c>
      <c r="G81" s="476" t="s">
        <v>103</v>
      </c>
      <c r="H81" s="477"/>
      <c r="I81" s="478"/>
      <c r="J81" s="478"/>
      <c r="K81" s="478" t="str">
        <f t="shared" ref="K81:Q81" ca="1" si="300">IFERROR(AVERAGE(K4:K80),"")</f>
        <v/>
      </c>
      <c r="L81" s="478" t="str">
        <f t="shared" ca="1" si="300"/>
        <v/>
      </c>
      <c r="M81" s="478" t="str">
        <f t="shared" ca="1" si="300"/>
        <v/>
      </c>
      <c r="N81" s="478" t="str">
        <f t="shared" si="300"/>
        <v/>
      </c>
      <c r="O81" s="478" t="str">
        <f t="shared" si="300"/>
        <v/>
      </c>
      <c r="P81" s="478" t="str">
        <f t="shared" si="300"/>
        <v/>
      </c>
      <c r="Q81" s="478" t="str">
        <f t="shared" si="300"/>
        <v/>
      </c>
      <c r="U81" s="479" t="s">
        <v>103</v>
      </c>
      <c r="V81" s="478" t="str">
        <f>IFERROR(AVERAGE(V4:V80),"")</f>
        <v/>
      </c>
      <c r="W81" s="478" t="str">
        <f t="shared" ref="W81:AK81" ca="1" si="301">IFERROR(AVERAGE(W4:W80),"")</f>
        <v/>
      </c>
      <c r="X81" s="478" t="str">
        <f t="shared" ca="1" si="301"/>
        <v/>
      </c>
      <c r="Y81" s="478" t="str">
        <f t="shared" ca="1" si="301"/>
        <v/>
      </c>
      <c r="Z81" s="478" t="str">
        <f t="shared" ca="1" si="301"/>
        <v/>
      </c>
      <c r="AA81" s="478" t="str">
        <f t="shared" ca="1" si="301"/>
        <v/>
      </c>
      <c r="AB81" s="478" t="str">
        <f t="shared" si="301"/>
        <v/>
      </c>
      <c r="AC81" s="478" t="str">
        <f t="shared" si="301"/>
        <v/>
      </c>
      <c r="AD81" s="478" t="str">
        <f t="shared" si="301"/>
        <v/>
      </c>
      <c r="AE81" s="478" t="str">
        <f t="shared" si="301"/>
        <v/>
      </c>
      <c r="AF81" s="478" t="str">
        <f t="shared" si="301"/>
        <v/>
      </c>
      <c r="AG81" s="478">
        <f t="shared" si="301"/>
        <v>0</v>
      </c>
      <c r="AH81" s="478" t="str">
        <f t="shared" si="301"/>
        <v/>
      </c>
      <c r="AI81" s="478" t="str">
        <f t="shared" si="301"/>
        <v/>
      </c>
      <c r="AJ81" s="478" t="str">
        <f t="shared" si="301"/>
        <v/>
      </c>
      <c r="AK81" s="478" t="str">
        <f t="shared" si="301"/>
        <v/>
      </c>
    </row>
    <row r="82" spans="1:37" ht="15" customHeight="1">
      <c r="A82" s="321"/>
      <c r="F82" s="480" t="s">
        <v>105</v>
      </c>
      <c r="G82" s="481"/>
      <c r="H82" s="482" t="str">
        <f t="array" aca="1" ref="H82" ca="1">IF(ISERROR(AVERAGE(IF($G$4:$G$68="FF",H$4:H$68))),"",AVERAGE(IF($G$4:$G$68="FF",H$4:H$68)))</f>
        <v/>
      </c>
      <c r="I82" s="482"/>
      <c r="J82" s="482" t="str">
        <f t="array" aca="1" ref="J82" ca="1">IF(ISERROR(AVERAGE(IF($G$4:$G$68="FF",J$4:J$68))),"",AVERAGE(IF($G$4:$G$68="FF",J$4:J$68)))</f>
        <v/>
      </c>
      <c r="K82" s="482" t="str">
        <f t="array" aca="1" ref="K82" ca="1">IF(ISERROR(AVERAGE(IF($G$4:$G$68="FF",K$4:K$68))),"",AVERAGE(IF($G$4:$G$68="FF",K$4:K$68)))</f>
        <v/>
      </c>
      <c r="L82" s="482" t="str">
        <f t="array" aca="1" ref="L82" ca="1">IF(ISERROR(AVERAGE(IF($G$4:$G$68="FF",L$4:L$68))),"",AVERAGE(IF($G$4:$G$68="FF",L$4:L$68)))</f>
        <v/>
      </c>
      <c r="M82" s="482" t="str">
        <f t="array" aca="1" ref="M82" ca="1">IF(ISERROR(AVERAGE(IF($G$4:$G$68="FF",M$4:M$68))),"",AVERAGE(IF($G$4:$G$68="FF",M$4:M$68)))</f>
        <v/>
      </c>
      <c r="N82" s="482" t="str">
        <f t="array" aca="1" ref="N82" ca="1">IF(ISERROR(AVERAGE(IF($G$4:$G$68="FF",N$4:N$68))),"",AVERAGE(IF($G$4:$G$68="FF",N$4:N$68)))</f>
        <v/>
      </c>
      <c r="O82" s="482" t="str">
        <f t="array" aca="1" ref="O82" ca="1">IF(ISERROR(AVERAGE(IF($G$4:$G$68="FF",O$4:O$68))),"",AVERAGE(IF($G$4:$G$68="FF",O$4:O$68)))</f>
        <v/>
      </c>
      <c r="P82" s="482" t="str">
        <f t="array" aca="1" ref="P82" ca="1">IF(ISERROR(AVERAGE(IF($G$4:$G$68="FF",P$4:P$68))),"",AVERAGE(IF($G$4:$G$68="FF",P$4:P$68)))</f>
        <v/>
      </c>
      <c r="U82" s="483" t="s">
        <v>105</v>
      </c>
      <c r="V82" s="482" t="str">
        <f t="array" aca="1" ref="V82" ca="1">IF(ISERROR(AVERAGE(IF($G$4:$G$68="FF",V$4:V$68))),"",AVERAGE(IF($G$4:$G$68="FF",V$4:V$68)))</f>
        <v/>
      </c>
      <c r="W82" s="482" t="str">
        <f t="array" aca="1" ref="W82" ca="1">IF(ISERROR(AVERAGE(IF($G$4:$G$68="FF",W$4:W$68))),"",AVERAGE(IF($G$4:$G$68="FF",W$4:W$68)))</f>
        <v/>
      </c>
      <c r="X82" s="482" t="str">
        <f t="array" aca="1" ref="X82" ca="1">IF(ISERROR(AVERAGE(IF($G$4:$G$68="FF",X$4:X$68))),"",AVERAGE(IF($G$4:$G$68="FF",X$4:X$68)))</f>
        <v/>
      </c>
      <c r="Y82" s="482" t="str">
        <f t="array" aca="1" ref="Y82" ca="1">IF(ISERROR(AVERAGE(IF($G$4:$G$68="FF",Y$4:Y$68))),"",AVERAGE(IF($G$4:$G$68="FF",Y$4:Y$68)))</f>
        <v/>
      </c>
      <c r="Z82" s="482" t="str">
        <f t="array" aca="1" ref="Z82" ca="1">IF(ISERROR(AVERAGE(IF($G$4:$G$68="FF",Z$4:Z$68))),"",AVERAGE(IF($G$4:$G$68="FF",Z$4:Z$68)))</f>
        <v/>
      </c>
      <c r="AA82" s="482" t="str">
        <f t="array" aca="1" ref="AA82" ca="1">IF(ISERROR(AVERAGE(IF($G$4:$G$68="FF",AA$4:AA$68))),"",AVERAGE(IF($G$4:$G$68="FF",AA$4:AA$68)))</f>
        <v/>
      </c>
      <c r="AB82" s="484" t="str">
        <f t="array" aca="1" ref="AB82" ca="1">IF(ISERROR(AVERAGE(IF($G$4:$G$68="FF",AB$4:AB$68))),"",AVERAGE(IF($G$4:$G$68="FF",AB$4:AB$68)))</f>
        <v/>
      </c>
      <c r="AC82" s="482" t="str">
        <f t="array" aca="1" ref="AC82" ca="1">IF(ISERROR(AVERAGE(IF($G$4:$G$68="FF",AC$4:AC$68))),"",AVERAGE(IF($G$4:$G$68="FF",AC$4:AC$68)))</f>
        <v/>
      </c>
      <c r="AD82" s="482" t="str">
        <f t="array" aca="1" ref="AD82" ca="1">IF(ISERROR(AVERAGE(IF($G$4:$G$68="FF",AD$4:AD$68))),"",AVERAGE(IF($G$4:$G$68="FF",AD$4:AD$68)))</f>
        <v/>
      </c>
      <c r="AE82" s="485" t="str">
        <f t="array" aca="1" ref="AE82" ca="1">IF(ISERROR(AVERAGE(IF($G$4:$G$68="FF",AE$4:AE$68))),"",AVERAGE(IF($G$4:$G$68="FF",AE$4:AE$68)))</f>
        <v/>
      </c>
      <c r="AF82" s="482" t="str">
        <f t="array" aca="1" ref="AF82" ca="1">IF(ISERROR(AVERAGE(IF($G$4:$G$68="FF",AF$4:AF$68))),"",AVERAGE(IF($G$4:$G$68="FF",AF$4:AF$68)))</f>
        <v/>
      </c>
      <c r="AG82" s="482" t="str">
        <f t="array" aca="1" ref="AG82" ca="1">IF(ISERROR(AVERAGE(IF($G$4:$G$68="FF",AG$4:AG$68))),"",AVERAGE(IF($G$4:$G$68="FF",AG$4:AG$68)))</f>
        <v/>
      </c>
      <c r="AH82" s="482" t="str">
        <f t="array" aca="1" ref="AH82" ca="1">IF(ISERROR(AVERAGE(IF($G$4:$G$68="FF",AH$4:AH$68))),"",AVERAGE(IF($G$4:$G$68="FF",AH$4:AH$68)))</f>
        <v/>
      </c>
      <c r="AI82" s="482" t="str">
        <f t="array" aca="1" ref="AI82" ca="1">IF(ISERROR(AVERAGE(IF($G$4:$G$68="FF",AI$4:AI$68))),"",AVERAGE(IF($G$4:$G$68="FF",AI$4:AI$68)))</f>
        <v/>
      </c>
      <c r="AJ82" s="482" t="str">
        <f t="array" aca="1" ref="AJ82" ca="1">IF(ISERROR(AVERAGE(IF($G$4:$G$68="FF",AJ$4:AJ$68))),"",AVERAGE(IF($G$4:$G$68="FF",AJ$4:AJ$68)))</f>
        <v/>
      </c>
      <c r="AK82" s="246" t="str">
        <f t="array" aca="1" ref="AK82" ca="1">IF(ISERROR(AVERAGE(IF($G$4:$G$68="FF",AK$4:AK$68))),"",AVERAGE(IF($G$4:$G$68="FF",AK$4:AK$68)))</f>
        <v/>
      </c>
    </row>
    <row r="83" spans="1:37" ht="15" customHeight="1">
      <c r="A83" s="321"/>
      <c r="F83" s="486" t="s">
        <v>107</v>
      </c>
      <c r="G83" s="481"/>
      <c r="H83" s="487" t="str">
        <f t="array" aca="1" ref="H83" ca="1">IF(ISERROR(AVERAGE(IF($G$4:$G$68="MM",H$4:H$68))),"",AVERAGE(IF($G$4:$G$68="MM",H$4:H$68)))</f>
        <v/>
      </c>
      <c r="I83" s="487"/>
      <c r="J83" s="487" t="str">
        <f t="array" aca="1" ref="J83" ca="1">IF(ISERROR(AVERAGE(IF($G$4:$G$68="MM",J$4:J$68))),"",AVERAGE(IF($G$4:$G$68="MM",J$4:J$68)))</f>
        <v/>
      </c>
      <c r="K83" s="487" t="str">
        <f t="array" aca="1" ref="K83" ca="1">IF(ISERROR(AVERAGE(IF($G$4:$G$68="MM",K$4:K$68))),"",AVERAGE(IF($G$4:$G$68="MM",K$4:K$68)))</f>
        <v/>
      </c>
      <c r="L83" s="487" t="str">
        <f t="array" aca="1" ref="L83" ca="1">IF(ISERROR(AVERAGE(IF($G$4:$G$68="MM",L$4:L$68))),"",AVERAGE(IF($G$4:$G$68="MM",L$4:L$68)))</f>
        <v/>
      </c>
      <c r="M83" s="487" t="str">
        <f t="array" aca="1" ref="M83" ca="1">IF(ISERROR(AVERAGE(IF($G$4:$G$68="MM",M$4:M$68))),"",AVERAGE(IF($G$4:$G$68="MM",M$4:M$68)))</f>
        <v/>
      </c>
      <c r="N83" s="487" t="str">
        <f t="array" aca="1" ref="N83" ca="1">IF(ISERROR(AVERAGE(IF($G$4:$G$68="MM",N$4:N$68))),"",AVERAGE(IF($G$4:$G$68="MM",N$4:N$68)))</f>
        <v/>
      </c>
      <c r="O83" s="487" t="str">
        <f t="array" aca="1" ref="O83" ca="1">IF(ISERROR(AVERAGE(IF($G$4:$G$68="MM",O$4:O$68))),"",AVERAGE(IF($G$4:$G$68="MM",O$4:O$68)))</f>
        <v/>
      </c>
      <c r="P83" s="487" t="str">
        <f t="array" aca="1" ref="P83" ca="1">IF(ISERROR(AVERAGE(IF($G$4:$G$68="MM",P$4:P$68))),"",AVERAGE(IF($G$4:$G$68="MM",P$4:P$68)))</f>
        <v/>
      </c>
      <c r="U83" s="488" t="s">
        <v>107</v>
      </c>
      <c r="V83" s="487" t="str">
        <f t="array" aca="1" ref="V83" ca="1">IF(ISERROR(AVERAGE(IF($G$4:$G$68="MM",V$4:V$68))),"",AVERAGE(IF($G$4:$G$68="MM",V$4:V$68)))</f>
        <v/>
      </c>
      <c r="W83" s="487" t="str">
        <f t="array" aca="1" ref="W83" ca="1">IF(ISERROR(AVERAGE(IF($G$4:$G$68="MM",W$4:W$68))),"",AVERAGE(IF($G$4:$G$68="MM",W$4:W$68)))</f>
        <v/>
      </c>
      <c r="X83" s="487" t="str">
        <f t="array" aca="1" ref="X83" ca="1">IF(ISERROR(AVERAGE(IF($G$4:$G$68="MM",X$4:X$68))),"",AVERAGE(IF($G$4:$G$68="MM",X$4:X$68)))</f>
        <v/>
      </c>
      <c r="Y83" s="487" t="str">
        <f t="array" aca="1" ref="Y83" ca="1">IF(ISERROR(AVERAGE(IF($G$4:$G$68="MM",Y$4:Y$68))),"",AVERAGE(IF($G$4:$G$68="MM",Y$4:Y$68)))</f>
        <v/>
      </c>
      <c r="Z83" s="487" t="str">
        <f t="array" aca="1" ref="Z83" ca="1">IF(ISERROR(AVERAGE(IF($G$4:$G$68="MM",Z$4:Z$68))),"",AVERAGE(IF($G$4:$G$68="MM",Z$4:Z$68)))</f>
        <v/>
      </c>
      <c r="AA83" s="487" t="str">
        <f t="array" aca="1" ref="AA83" ca="1">IF(ISERROR(AVERAGE(IF($G$4:$G$68="MM",AA$4:AA$68))),"",AVERAGE(IF($G$4:$G$68="MM",AA$4:AA$68)))</f>
        <v/>
      </c>
      <c r="AB83" s="489" t="str">
        <f t="array" aca="1" ref="AB83" ca="1">IF(ISERROR(AVERAGE(IF($G$4:$G$68="MM",AB$4:AB$68))),"",AVERAGE(IF($G$4:$G$68="MM",AB$4:AB$68)))</f>
        <v/>
      </c>
      <c r="AC83" s="487" t="str">
        <f t="array" aca="1" ref="AC83" ca="1">IF(ISERROR(AVERAGE(IF($G$4:$G$68="MM",AC$4:AC$68))),"",AVERAGE(IF($G$4:$G$68="MM",AC$4:AC$68)))</f>
        <v/>
      </c>
      <c r="AD83" s="487" t="str">
        <f t="array" aca="1" ref="AD83" ca="1">IF(ISERROR(AVERAGE(IF($G$4:$G$68="MM",AD$4:AD$68))),"",AVERAGE(IF($G$4:$G$68="MM",AD$4:AD$68)))</f>
        <v/>
      </c>
      <c r="AE83" s="490" t="str">
        <f t="array" aca="1" ref="AE83" ca="1">IF(ISERROR(AVERAGE(IF($G$4:$G$68="MM",AE$4:AE$68))),"",AVERAGE(IF($G$4:$G$68="MM",AE$4:AE$68)))</f>
        <v/>
      </c>
      <c r="AF83" s="487" t="str">
        <f t="array" aca="1" ref="AF83" ca="1">IF(ISERROR(AVERAGE(IF($G$4:$G$68="MM",AF$4:AF$68))),"",AVERAGE(IF($G$4:$G$68="MM",AF$4:AF$68)))</f>
        <v/>
      </c>
      <c r="AG83" s="487" t="str">
        <f t="array" aca="1" ref="AG83" ca="1">IF(ISERROR(AVERAGE(IF($G$4:$G$68="MM",AG$4:AG$68))),"",AVERAGE(IF($G$4:$G$68="MM",AG$4:AG$68)))</f>
        <v/>
      </c>
      <c r="AH83" s="487" t="str">
        <f t="array" aca="1" ref="AH83" ca="1">IF(ISERROR(AVERAGE(IF($G$4:$G$68="MM",AH$4:AH$68))),"",AVERAGE(IF($G$4:$G$68="MM",AH$4:AH$68)))</f>
        <v/>
      </c>
      <c r="AI83" s="487" t="str">
        <f t="array" aca="1" ref="AI83" ca="1">IF(ISERROR(AVERAGE(IF($G$4:$G$68="MM",AI$4:AI$68))),"",AVERAGE(IF($G$4:$G$68="MM",AI$4:AI$68)))</f>
        <v/>
      </c>
      <c r="AJ83" s="487" t="str">
        <f t="array" aca="1" ref="AJ83" ca="1">IF(ISERROR(AVERAGE(IF($G$4:$G$68="MM",AJ$4:AJ$68))),"",AVERAGE(IF($G$4:$G$68="MM",AJ$4:AJ$68)))</f>
        <v/>
      </c>
      <c r="AK83" s="256" t="str">
        <f t="array" aca="1" ref="AK83" ca="1">IF(ISERROR(AVERAGE(IF($G$4:$G$68="MM",AK$4:AK$68))),"",AVERAGE(IF($G$4:$G$68="MM",AK$4:AK$68)))</f>
        <v/>
      </c>
    </row>
    <row r="84" spans="1:37" ht="15" customHeight="1">
      <c r="A84" s="321"/>
      <c r="F84" s="480" t="s">
        <v>109</v>
      </c>
      <c r="G84" s="481"/>
      <c r="H84" s="482">
        <f t="array" aca="1" ref="H84" ca="1">IF(ISERROR(MIN(IF($G$4:$G$68="FF",H$4:H$68))),"",MIN(IF($G$4:$G$68="FF",H$4:H$68)))</f>
        <v>0</v>
      </c>
      <c r="I84" s="482"/>
      <c r="J84" s="482">
        <f t="array" aca="1" ref="J84" ca="1">IF(ISERROR(MIN(IF($G$4:$G$68="FF",J$4:J$68))),"",MIN(IF($G$4:$G$68="FF",J$4:J$68)))</f>
        <v>0</v>
      </c>
      <c r="K84" s="482">
        <f t="array" aca="1" ref="K84" ca="1">IF(ISERROR(MIN(IF($G$4:$G$68="FF",K$4:K$68))),"",MIN(IF($G$4:$G$68="FF",K$4:K$68)))</f>
        <v>0</v>
      </c>
      <c r="L84" s="482">
        <f t="array" aca="1" ref="L84" ca="1">IF(ISERROR(MIN(IF($G$4:$G$68="FF",L$4:L$68))),"",MIN(IF($G$4:$G$68="FF",L$4:L$68)))</f>
        <v>0</v>
      </c>
      <c r="M84" s="482">
        <f t="array" aca="1" ref="M84" ca="1">IF(ISERROR(MIN(IF($G$4:$G$68="FF",M$4:M$68))),"",MIN(IF($G$4:$G$68="FF",M$4:M$68)))</f>
        <v>0</v>
      </c>
      <c r="N84" s="482">
        <f t="array" aca="1" ref="N84" ca="1">IF(ISERROR(MIN(IF($G$4:$G$68="FF",N$4:N$68))),"",MIN(IF($G$4:$G$68="FF",N$4:N$68)))</f>
        <v>0</v>
      </c>
      <c r="O84" s="482">
        <f t="array" aca="1" ref="O84" ca="1">IF(ISERROR(MIN(IF($G$4:$G$68="FF",O$4:O$68))),"",MIN(IF($G$4:$G$68="FF",O$4:O$68)))</f>
        <v>0</v>
      </c>
      <c r="P84" s="482">
        <f t="array" aca="1" ref="P84" ca="1">IF(ISERROR(MIN(IF($G$4:$G$68="FF",P$4:P$68))),"",MIN(IF($G$4:$G$68="FF",P$4:P$68)))</f>
        <v>0</v>
      </c>
      <c r="U84" s="483" t="s">
        <v>109</v>
      </c>
      <c r="V84" s="482">
        <f t="array" aca="1" ref="V84" ca="1">IF(ISERROR(MIN(IF($G$4:$G$68="FF",V$4:V$68))),"",MIN(IF($G$4:$G$68="FF",V$4:V$68)))</f>
        <v>0</v>
      </c>
      <c r="W84" s="482">
        <f t="array" aca="1" ref="W84" ca="1">IF(ISERROR(MIN(IF($G$4:$G$68="FF",W$4:W$68))),"",MIN(IF($G$4:$G$68="FF",W$4:W$68)))</f>
        <v>0</v>
      </c>
      <c r="X84" s="482">
        <f t="array" aca="1" ref="X84" ca="1">IF(ISERROR(MIN(IF($G$4:$G$68="FF",X$4:X$68))),"",MIN(IF($G$4:$G$68="FF",X$4:X$68)))</f>
        <v>0</v>
      </c>
      <c r="Y84" s="482">
        <f t="array" aca="1" ref="Y84" ca="1">IF(ISERROR(MIN(IF($G$4:$G$68="FF",Y$4:Y$68))),"",MIN(IF($G$4:$G$68="FF",Y$4:Y$68)))</f>
        <v>0</v>
      </c>
      <c r="Z84" s="482">
        <f t="array" aca="1" ref="Z84" ca="1">IF(ISERROR(MIN(IF($G$4:$G$68="FF",Z$4:Z$68))),"",MIN(IF($G$4:$G$68="FF",Z$4:Z$68)))</f>
        <v>0</v>
      </c>
      <c r="AA84" s="482">
        <f t="array" aca="1" ref="AA84" ca="1">IF(ISERROR(MIN(IF($G$4:$G$68="FF",AA$4:AA$68))),"",MIN(IF($G$4:$G$68="FF",AA$4:AA$68)))</f>
        <v>0</v>
      </c>
      <c r="AB84" s="484">
        <f t="array" aca="1" ref="AB84" ca="1">IF(ISERROR(MIN(IF($G$4:$G$68="FF",AB$4:AB$68))),"",MIN(IF($G$4:$G$68="FF",AB$4:AB$68)))</f>
        <v>0</v>
      </c>
      <c r="AC84" s="482">
        <f t="array" aca="1" ref="AC84" ca="1">IF(ISERROR(MIN(IF($G$4:$G$68="FF",AC$4:AC$68))),"",MIN(IF($G$4:$G$68="FF",AC$4:AC$68)))</f>
        <v>0</v>
      </c>
      <c r="AD84" s="482">
        <f t="array" aca="1" ref="AD84" ca="1">IF(ISERROR(MIN(IF($G$4:$G$68="FF",AD$4:AD$68))),"",MIN(IF($G$4:$G$68="FF",AD$4:AD$68)))</f>
        <v>0</v>
      </c>
      <c r="AE84" s="485">
        <f t="array" aca="1" ref="AE84" ca="1">IF(ISERROR(MIN(IF($G$4:$G$68="FF",AE$4:AE$68))),"",MIN(IF($G$4:$G$68="FF",AE$4:AE$68)))</f>
        <v>0</v>
      </c>
      <c r="AF84" s="482">
        <f t="array" aca="1" ref="AF84" ca="1">IF(ISERROR(MIN(IF($G$4:$G$68="FF",AF$4:AF$68))),"",MIN(IF($G$4:$G$68="FF",AF$4:AF$68)))</f>
        <v>0</v>
      </c>
      <c r="AG84" s="482">
        <f t="array" aca="1" ref="AG84" ca="1">IF(ISERROR(MIN(IF($G$4:$G$68="FF",AG$4:AG$68))),"",MIN(IF($G$4:$G$68="FF",AG$4:AG$68)))</f>
        <v>0</v>
      </c>
      <c r="AH84" s="482">
        <f t="array" aca="1" ref="AH84" ca="1">IF(ISERROR(MIN(IF($G$4:$G$68="FF",AH$4:AH$68))),"",MIN(IF($G$4:$G$68="FF",AH$4:AH$68)))</f>
        <v>0</v>
      </c>
      <c r="AI84" s="482">
        <f t="array" aca="1" ref="AI84" ca="1">IF(ISERROR(MIN(IF($G$4:$G$68="FF",AI$4:AI$68))),"",MIN(IF($G$4:$G$68="FF",AI$4:AI$68)))</f>
        <v>0</v>
      </c>
      <c r="AJ84" s="482">
        <f t="array" aca="1" ref="AJ84" ca="1">IF(ISERROR(MIN(IF($G$4:$G$68="FF",AJ$4:AJ$68))),"",MIN(IF($G$4:$G$68="FF",AJ$4:AJ$68)))</f>
        <v>0</v>
      </c>
      <c r="AK84" s="246">
        <f t="array" aca="1" ref="AK84" ca="1">IF(ISERROR(MIN(IF($G$4:$G$68="FF",AK$4:AK$68))),"",MIN(IF($G$4:$G$68="FF",AK$4:AK$68)))</f>
        <v>0</v>
      </c>
    </row>
    <row r="85" spans="1:37" ht="15" customHeight="1">
      <c r="A85" s="321"/>
      <c r="F85" s="486" t="s">
        <v>110</v>
      </c>
      <c r="H85" s="487">
        <f t="array" aca="1" ref="H85" ca="1">IF(ISERROR(MIN(IF($G$4:$G$68="MM",H$4:H$68))),"",MIN(IF($G$4:$G$68="MM",H$4:H$68)))</f>
        <v>0</v>
      </c>
      <c r="I85" s="487"/>
      <c r="J85" s="487">
        <f t="array" aca="1" ref="J85" ca="1">IF(ISERROR(MIN(IF($G$4:$G$68="MM",J$4:J$68))),"",MIN(IF($G$4:$G$68="MM",J$4:J$68)))</f>
        <v>0</v>
      </c>
      <c r="K85" s="487">
        <f t="array" aca="1" ref="K85" ca="1">IF(ISERROR(MIN(IF($G$4:$G$68="MM",K$4:K$68))),"",MIN(IF($G$4:$G$68="MM",K$4:K$68)))</f>
        <v>0</v>
      </c>
      <c r="L85" s="487">
        <f t="array" aca="1" ref="L85" ca="1">IF(ISERROR(MIN(IF($G$4:$G$68="MM",L$4:L$68))),"",MIN(IF($G$4:$G$68="MM",L$4:L$68)))</f>
        <v>0</v>
      </c>
      <c r="M85" s="487">
        <f t="array" aca="1" ref="M85" ca="1">IF(ISERROR(MIN(IF($G$4:$G$68="MM",M$4:M$68))),"",MIN(IF($G$4:$G$68="MM",M$4:M$68)))</f>
        <v>0</v>
      </c>
      <c r="N85" s="487">
        <f t="array" aca="1" ref="N85" ca="1">IF(ISERROR(MIN(IF($G$4:$G$68="MM",N$4:N$68))),"",MIN(IF($G$4:$G$68="MM",N$4:N$68)))</f>
        <v>0</v>
      </c>
      <c r="O85" s="487">
        <f t="array" aca="1" ref="O85" ca="1">IF(ISERROR(MIN(IF($G$4:$G$68="MM",O$4:O$68))),"",MIN(IF($G$4:$G$68="MM",O$4:O$68)))</f>
        <v>0</v>
      </c>
      <c r="P85" s="487">
        <f t="array" aca="1" ref="P85" ca="1">IF(ISERROR(MIN(IF($G$4:$G$68="MM",P$4:P$68))),"",MIN(IF($G$4:$G$68="MM",P$4:P$68)))</f>
        <v>0</v>
      </c>
      <c r="U85" s="488" t="s">
        <v>110</v>
      </c>
      <c r="V85" s="487">
        <f t="array" aca="1" ref="V85" ca="1">IF(ISERROR(MIN(IF($G$4:$G$68="MM",V$4:V$68))),"",MIN(IF($G$4:$G$68="MM",V$4:V$68)))</f>
        <v>0</v>
      </c>
      <c r="W85" s="487">
        <f t="array" aca="1" ref="W85" ca="1">IF(ISERROR(MIN(IF($G$4:$G$68="MM",W$4:W$68))),"",MIN(IF($G$4:$G$68="MM",W$4:W$68)))</f>
        <v>0</v>
      </c>
      <c r="X85" s="487">
        <f t="array" aca="1" ref="X85" ca="1">IF(ISERROR(MIN(IF($G$4:$G$68="MM",X$4:X$68))),"",MIN(IF($G$4:$G$68="MM",X$4:X$68)))</f>
        <v>0</v>
      </c>
      <c r="Y85" s="487">
        <f t="array" aca="1" ref="Y85" ca="1">IF(ISERROR(MIN(IF($G$4:$G$68="MM",Y$4:Y$68))),"",MIN(IF($G$4:$G$68="MM",Y$4:Y$68)))</f>
        <v>0</v>
      </c>
      <c r="Z85" s="487">
        <f t="array" aca="1" ref="Z85" ca="1">IF(ISERROR(MIN(IF($G$4:$G$68="MM",Z$4:Z$68))),"",MIN(IF($G$4:$G$68="MM",Z$4:Z$68)))</f>
        <v>0</v>
      </c>
      <c r="AA85" s="487">
        <f t="array" aca="1" ref="AA85" ca="1">IF(ISERROR(MIN(IF($G$4:$G$68="MM",AA$4:AA$68))),"",MIN(IF($G$4:$G$68="MM",AA$4:AA$68)))</f>
        <v>0</v>
      </c>
      <c r="AB85" s="489">
        <f t="array" aca="1" ref="AB85" ca="1">IF(ISERROR(MIN(IF($G$4:$G$68="MM",AB$4:AB$68))),"",MIN(IF($G$4:$G$68="MM",AB$4:AB$68)))</f>
        <v>0</v>
      </c>
      <c r="AC85" s="487">
        <f t="array" aca="1" ref="AC85" ca="1">IF(ISERROR(MIN(IF($G$4:$G$68="MM",AC$4:AC$68))),"",MIN(IF($G$4:$G$68="MM",AC$4:AC$68)))</f>
        <v>0</v>
      </c>
      <c r="AD85" s="487">
        <f t="array" aca="1" ref="AD85" ca="1">IF(ISERROR(MIN(IF($G$4:$G$68="MM",AD$4:AD$68))),"",MIN(IF($G$4:$G$68="MM",AD$4:AD$68)))</f>
        <v>0</v>
      </c>
      <c r="AE85" s="490">
        <f t="array" aca="1" ref="AE85" ca="1">IF(ISERROR(MIN(IF($G$4:$G$68="MM",AE$4:AE$68))),"",MIN(IF($G$4:$G$68="MM",AE$4:AE$68)))</f>
        <v>0</v>
      </c>
      <c r="AF85" s="487">
        <f t="array" aca="1" ref="AF85" ca="1">IF(ISERROR(MIN(IF($G$4:$G$68="MM",AF$4:AF$68))),"",MIN(IF($G$4:$G$68="MM",AF$4:AF$68)))</f>
        <v>0</v>
      </c>
      <c r="AG85" s="487">
        <f t="array" aca="1" ref="AG85" ca="1">IF(ISERROR(MIN(IF($G$4:$G$68="MM",AG$4:AG$68))),"",MIN(IF($G$4:$G$68="MM",AG$4:AG$68)))</f>
        <v>0</v>
      </c>
      <c r="AH85" s="487">
        <f t="array" aca="1" ref="AH85" ca="1">IF(ISERROR(MIN(IF($G$4:$G$68="MM",AH$4:AH$68))),"",MIN(IF($G$4:$G$68="MM",AH$4:AH$68)))</f>
        <v>0</v>
      </c>
      <c r="AI85" s="487">
        <f t="array" aca="1" ref="AI85" ca="1">IF(ISERROR(MIN(IF($G$4:$G$68="MM",AI$4:AI$68))),"",MIN(IF($G$4:$G$68="MM",AI$4:AI$68)))</f>
        <v>0</v>
      </c>
      <c r="AJ85" s="487">
        <f t="array" aca="1" ref="AJ85" ca="1">IF(ISERROR(MIN(IF($G$4:$G$68="MM",AJ$4:AJ$68))),"",MIN(IF($G$4:$G$68="MM",AJ$4:AJ$68)))</f>
        <v>0</v>
      </c>
      <c r="AK85" s="256">
        <f t="array" aca="1" ref="AK85" ca="1">IF(ISERROR(MIN(IF($G$4:$G$68="MM",AK$4:AK$68))),"",MIN(IF($G$4:$G$68="MM",AK$4:AK$68)))</f>
        <v>0</v>
      </c>
    </row>
    <row r="86" spans="1:37" ht="15" customHeight="1">
      <c r="A86" s="321"/>
      <c r="F86" s="480" t="s">
        <v>111</v>
      </c>
      <c r="H86" s="482">
        <f t="array" aca="1" ref="H86" ca="1">IF(ISERROR(MAX(IF($G$4:$G$68="FF",H$4:H$68))),"",MAX(IF($G$4:$G$68="FF",H$4:H$68)))</f>
        <v>0</v>
      </c>
      <c r="I86" s="482"/>
      <c r="J86" s="482">
        <f t="array" aca="1" ref="J86" ca="1">IF(ISERROR(MAX(IF($G$4:$G$68="FF",J$4:J$68))),"",MAX(IF($G$4:$G$68="FF",J$4:J$68)))</f>
        <v>0</v>
      </c>
      <c r="K86" s="482">
        <f t="array" aca="1" ref="K86" ca="1">IF(ISERROR(MAX(IF($G$4:$G$68="FF",K$4:K$68))),"",MAX(IF($G$4:$G$68="FF",K$4:K$68)))</f>
        <v>0</v>
      </c>
      <c r="L86" s="482">
        <f t="array" aca="1" ref="L86" ca="1">IF(ISERROR(MAX(IF($G$4:$G$68="FF",L$4:L$68))),"",MAX(IF($G$4:$G$68="FF",L$4:L$68)))</f>
        <v>0</v>
      </c>
      <c r="M86" s="482">
        <f t="array" aca="1" ref="M86" ca="1">IF(ISERROR(MAX(IF($G$4:$G$68="FF",M$4:M$68))),"",MAX(IF($G$4:$G$68="FF",M$4:M$68)))</f>
        <v>0</v>
      </c>
      <c r="N86" s="482">
        <f t="array" aca="1" ref="N86" ca="1">IF(ISERROR(MAX(IF($G$4:$G$68="FF",N$4:N$68))),"",MAX(IF($G$4:$G$68="FF",N$4:N$68)))</f>
        <v>0</v>
      </c>
      <c r="O86" s="482">
        <f t="array" aca="1" ref="O86" ca="1">IF(ISERROR(MAX(IF($G$4:$G$68="FF",O$4:O$68))),"",MAX(IF($G$4:$G$68="FF",O$4:O$68)))</f>
        <v>0</v>
      </c>
      <c r="P86" s="482">
        <f t="array" aca="1" ref="P86" ca="1">IF(ISERROR(MAX(IF($G$4:$G$68="FF",P$4:P$68))),"",MAX(IF($G$4:$G$68="FF",P$4:P$68)))</f>
        <v>0</v>
      </c>
      <c r="U86" s="483" t="s">
        <v>111</v>
      </c>
      <c r="V86" s="482">
        <f t="array" aca="1" ref="V86" ca="1">IF(ISERROR(MAX(IF($G$4:$G$68="FF",V$4:V$68))),"",MAX(IF($G$4:$G$68="FF",V$4:V$68)))</f>
        <v>0</v>
      </c>
      <c r="W86" s="482">
        <f t="array" aca="1" ref="W86" ca="1">IF(ISERROR(MAX(IF($G$4:$G$68="FF",W$4:W$68))),"",MAX(IF($G$4:$G$68="FF",W$4:W$68)))</f>
        <v>0</v>
      </c>
      <c r="X86" s="482">
        <f t="array" aca="1" ref="X86" ca="1">IF(ISERROR(MAX(IF($G$4:$G$68="FF",X$4:X$68))),"",MAX(IF($G$4:$G$68="FF",X$4:X$68)))</f>
        <v>0</v>
      </c>
      <c r="Y86" s="482">
        <f t="array" aca="1" ref="Y86" ca="1">IF(ISERROR(MAX(IF($G$4:$G$68="FF",Y$4:Y$68))),"",MAX(IF($G$4:$G$68="FF",Y$4:Y$68)))</f>
        <v>0</v>
      </c>
      <c r="Z86" s="482">
        <f t="array" aca="1" ref="Z86" ca="1">IF(ISERROR(MAX(IF($G$4:$G$68="FF",Z$4:Z$68))),"",MAX(IF($G$4:$G$68="FF",Z$4:Z$68)))</f>
        <v>0</v>
      </c>
      <c r="AA86" s="482">
        <f t="array" aca="1" ref="AA86" ca="1">IF(ISERROR(MAX(IF($G$4:$G$68="FF",AA$4:AA$68))),"",MAX(IF($G$4:$G$68="FF",AA$4:AA$68)))</f>
        <v>0</v>
      </c>
      <c r="AB86" s="484">
        <f t="array" aca="1" ref="AB86" ca="1">IF(ISERROR(MAX(IF($G$4:$G$68="FF",AB$4:AB$68))),"",MAX(IF($G$4:$G$68="FF",AB$4:AB$68)))</f>
        <v>0</v>
      </c>
      <c r="AC86" s="482">
        <f t="array" aca="1" ref="AC86" ca="1">IF(ISERROR(MAX(IF($G$4:$G$68="FF",AC$4:AC$68))),"",MAX(IF($G$4:$G$68="FF",AC$4:AC$68)))</f>
        <v>0</v>
      </c>
      <c r="AD86" s="482">
        <f t="array" aca="1" ref="AD86" ca="1">IF(ISERROR(MAX(IF($G$4:$G$68="FF",AD$4:AD$68))),"",MAX(IF($G$4:$G$68="FF",AD$4:AD$68)))</f>
        <v>0</v>
      </c>
      <c r="AE86" s="485">
        <f t="array" aca="1" ref="AE86" ca="1">IF(ISERROR(MAX(IF($G$4:$G$68="FF",AE$4:AE$68))),"",MAX(IF($G$4:$G$68="FF",AE$4:AE$68)))</f>
        <v>0</v>
      </c>
      <c r="AF86" s="482">
        <f t="array" aca="1" ref="AF86" ca="1">IF(ISERROR(MAX(IF($G$4:$G$68="FF",AF$4:AF$68))),"",MAX(IF($G$4:$G$68="FF",AF$4:AF$68)))</f>
        <v>0</v>
      </c>
      <c r="AG86" s="482">
        <f t="array" aca="1" ref="AG86" ca="1">IF(ISERROR(MAX(IF($G$4:$G$68="FF",AG$4:AG$68))),"",MAX(IF($G$4:$G$68="FF",AG$4:AG$68)))</f>
        <v>0</v>
      </c>
      <c r="AH86" s="482">
        <f t="array" aca="1" ref="AH86" ca="1">IF(ISERROR(MAX(IF($G$4:$G$68="FF",AH$4:AH$68))),"",MAX(IF($G$4:$G$68="FF",AH$4:AH$68)))</f>
        <v>0</v>
      </c>
      <c r="AI86" s="482">
        <f t="array" aca="1" ref="AI86" ca="1">IF(ISERROR(MAX(IF($G$4:$G$68="FF",AI$4:AI$68))),"",MAX(IF($G$4:$G$68="FF",AI$4:AI$68)))</f>
        <v>0</v>
      </c>
      <c r="AJ86" s="482">
        <f t="array" aca="1" ref="AJ86" ca="1">IF(ISERROR(MAX(IF($G$4:$G$68="FF",AJ$4:AJ$68))),"",MAX(IF($G$4:$G$68="FF",AJ$4:AJ$68)))</f>
        <v>0</v>
      </c>
      <c r="AK86" s="246">
        <f t="array" aca="1" ref="AK86" ca="1">IF(ISERROR(MAX(IF($G$4:$G$68="FF",AK$4:AK$68))),"",MAX(IF($G$4:$G$68="FF",AK$4:AK$68)))</f>
        <v>0</v>
      </c>
    </row>
    <row r="87" spans="1:37" ht="15" customHeight="1">
      <c r="A87" s="321"/>
      <c r="F87" s="486" t="s">
        <v>112</v>
      </c>
      <c r="H87" s="487">
        <f t="array" aca="1" ref="H87" ca="1">IF(ISERROR(MAX(IF($G$4:$G$68="MM",H$4:H$68))),"",MAX(IF($G$4:$G$68="MM",H$4:H$68)))</f>
        <v>0</v>
      </c>
      <c r="I87" s="487"/>
      <c r="J87" s="487">
        <f t="array" aca="1" ref="J87" ca="1">IF(ISERROR(MAX(IF($G$4:$G$68="MM",J$4:J$68))),"",MAX(IF($G$4:$G$68="MM",J$4:J$68)))</f>
        <v>0</v>
      </c>
      <c r="K87" s="487">
        <f t="array" aca="1" ref="K87" ca="1">IF(ISERROR(MAX(IF($G$4:$G$68="MM",K$4:K$68))),"",MAX(IF($G$4:$G$68="MM",K$4:K$68)))</f>
        <v>0</v>
      </c>
      <c r="L87" s="487">
        <f t="array" aca="1" ref="L87" ca="1">IF(ISERROR(MAX(IF($G$4:$G$68="MM",L$4:L$68))),"",MAX(IF($G$4:$G$68="MM",L$4:L$68)))</f>
        <v>0</v>
      </c>
      <c r="M87" s="487">
        <f t="array" aca="1" ref="M87" ca="1">IF(ISERROR(MAX(IF($G$4:$G$68="MM",M$4:M$68))),"",MAX(IF($G$4:$G$68="MM",M$4:M$68)))</f>
        <v>0</v>
      </c>
      <c r="N87" s="487">
        <f t="array" aca="1" ref="N87" ca="1">IF(ISERROR(MAX(IF($G$4:$G$68="MM",N$4:N$68))),"",MAX(IF($G$4:$G$68="MM",N$4:N$68)))</f>
        <v>0</v>
      </c>
      <c r="O87" s="487">
        <f t="array" aca="1" ref="O87" ca="1">IF(ISERROR(MAX(IF($G$4:$G$68="MM",O$4:O$68))),"",MAX(IF($G$4:$G$68="MM",O$4:O$68)))</f>
        <v>0</v>
      </c>
      <c r="P87" s="487">
        <f t="array" aca="1" ref="P87" ca="1">IF(ISERROR(MAX(IF($G$4:$G$68="MM",P$4:P$68))),"",MAX(IF($G$4:$G$68="MM",P$4:P$68)))</f>
        <v>0</v>
      </c>
      <c r="U87" s="488" t="s">
        <v>112</v>
      </c>
      <c r="V87" s="487">
        <f t="array" aca="1" ref="V87" ca="1">IF(ISERROR(MAX(IF($G$4:$G$68="MM",V$4:V$68))),"",MAX(IF($G$4:$G$68="MM",V$4:V$68)))</f>
        <v>0</v>
      </c>
      <c r="W87" s="487">
        <f t="array" aca="1" ref="W87" ca="1">IF(ISERROR(MAX(IF($G$4:$G$68="MM",W$4:W$68))),"",MAX(IF($G$4:$G$68="MM",W$4:W$68)))</f>
        <v>0</v>
      </c>
      <c r="X87" s="487">
        <f t="array" aca="1" ref="X87" ca="1">IF(ISERROR(MAX(IF($G$4:$G$68="MM",X$4:X$68))),"",MAX(IF($G$4:$G$68="MM",X$4:X$68)))</f>
        <v>0</v>
      </c>
      <c r="Y87" s="487">
        <f t="array" aca="1" ref="Y87" ca="1">IF(ISERROR(MAX(IF($G$4:$G$68="MM",Y$4:Y$68))),"",MAX(IF($G$4:$G$68="MM",Y$4:Y$68)))</f>
        <v>0</v>
      </c>
      <c r="Z87" s="487">
        <f t="array" aca="1" ref="Z87" ca="1">IF(ISERROR(MAX(IF($G$4:$G$68="MM",Z$4:Z$68))),"",MAX(IF($G$4:$G$68="MM",Z$4:Z$68)))</f>
        <v>0</v>
      </c>
      <c r="AA87" s="487">
        <f t="array" aca="1" ref="AA87" ca="1">IF(ISERROR(MAX(IF($G$4:$G$68="MM",AA$4:AA$68))),"",MAX(IF($G$4:$G$68="MM",AA$4:AA$68)))</f>
        <v>0</v>
      </c>
      <c r="AB87" s="489">
        <f t="array" aca="1" ref="AB87" ca="1">IF(ISERROR(MAX(IF($G$4:$G$68="MM",AB$4:AB$68))),"",MAX(IF($G$4:$G$68="MM",AB$4:AB$68)))</f>
        <v>0</v>
      </c>
      <c r="AC87" s="487">
        <f t="array" aca="1" ref="AC87" ca="1">IF(ISERROR(MAX(IF($G$4:$G$68="MM",AC$4:AC$68))),"",MAX(IF($G$4:$G$68="MM",AC$4:AC$68)))</f>
        <v>0</v>
      </c>
      <c r="AD87" s="487">
        <f t="array" aca="1" ref="AD87" ca="1">IF(ISERROR(MAX(IF($G$4:$G$68="MM",AD$4:AD$68))),"",MAX(IF($G$4:$G$68="MM",AD$4:AD$68)))</f>
        <v>0</v>
      </c>
      <c r="AE87" s="490">
        <f t="array" aca="1" ref="AE87" ca="1">IF(ISERROR(MAX(IF($G$4:$G$68="MM",AE$4:AE$68))),"",MAX(IF($G$4:$G$68="MM",AE$4:AE$68)))</f>
        <v>0</v>
      </c>
      <c r="AF87" s="487">
        <f t="array" aca="1" ref="AF87" ca="1">IF(ISERROR(MAX(IF($G$4:$G$68="MM",AF$4:AF$68))),"",MAX(IF($G$4:$G$68="MM",AF$4:AF$68)))</f>
        <v>0</v>
      </c>
      <c r="AG87" s="487">
        <f t="array" aca="1" ref="AG87" ca="1">IF(ISERROR(MAX(IF($G$4:$G$68="MM",AG$4:AG$68))),"",MAX(IF($G$4:$G$68="MM",AG$4:AG$68)))</f>
        <v>0</v>
      </c>
      <c r="AH87" s="487">
        <f t="array" aca="1" ref="AH87" ca="1">IF(ISERROR(MAX(IF($G$4:$G$68="MM",AH$4:AH$68))),"",MAX(IF($G$4:$G$68="MM",AH$4:AH$68)))</f>
        <v>0</v>
      </c>
      <c r="AI87" s="487">
        <f t="array" aca="1" ref="AI87" ca="1">IF(ISERROR(MAX(IF($G$4:$G$68="MM",AI$4:AI$68))),"",MAX(IF($G$4:$G$68="MM",AI$4:AI$68)))</f>
        <v>0</v>
      </c>
      <c r="AJ87" s="487">
        <f t="array" aca="1" ref="AJ87" ca="1">IF(ISERROR(MAX(IF($G$4:$G$68="MM",AJ$4:AJ$68))),"",MAX(IF($G$4:$G$68="MM",AJ$4:AJ$68)))</f>
        <v>0</v>
      </c>
      <c r="AK87" s="256">
        <f t="array" aca="1" ref="AK87" ca="1">IF(ISERROR(MAX(IF($G$4:$G$68="MM",AK$4:AK$68))),"",MAX(IF($G$4:$G$68="MM",AK$4:AK$68)))</f>
        <v>0</v>
      </c>
    </row>
    <row r="88" spans="1:37" ht="15" customHeight="1">
      <c r="A88" s="321"/>
      <c r="F88" s="480" t="s">
        <v>189</v>
      </c>
      <c r="G88" s="491"/>
      <c r="H88" s="482" t="str">
        <f t="array" aca="1" ref="H88" ca="1">IF(ISERROR(MEDIAN(IF($G$4:$G$68="FF",H$4:H$68))),"",MEDIAN(IF($G$4:$G$68="FF",H$4:H$68)))</f>
        <v/>
      </c>
      <c r="I88" s="482"/>
      <c r="J88" s="482" t="str">
        <f t="array" aca="1" ref="J88" ca="1">IF(ISERROR(MEDIAN(IF($G$4:$G$68="FF",J$4:J$68))),"",MEDIAN(IF($G$4:$G$68="FF",J$4:J$68)))</f>
        <v/>
      </c>
      <c r="K88" s="482" t="str">
        <f t="array" aca="1" ref="K88" ca="1">IF(ISERROR(MEDIAN(IF($G$4:$G$68="FF",K$4:K$68))),"",MEDIAN(IF($G$4:$G$68="FF",K$4:K$68)))</f>
        <v/>
      </c>
      <c r="L88" s="482" t="str">
        <f t="array" aca="1" ref="L88" ca="1">IF(ISERROR(MEDIAN(IF($G$4:$G$68="FF",L$4:L$68))),"",MEDIAN(IF($G$4:$G$68="FF",L$4:L$68)))</f>
        <v/>
      </c>
      <c r="M88" s="482" t="str">
        <f t="array" aca="1" ref="M88" ca="1">IF(ISERROR(MEDIAN(IF($G$4:$G$68="FF",M$4:M$68))),"",MEDIAN(IF($G$4:$G$68="FF",M$4:M$68)))</f>
        <v/>
      </c>
      <c r="N88" s="482" t="str">
        <f t="array" aca="1" ref="N88" ca="1">IF(ISERROR(MEDIAN(IF($G$4:$G$68="FF",N$4:N$68))),"",MEDIAN(IF($G$4:$G$68="FF",N$4:N$68)))</f>
        <v/>
      </c>
      <c r="O88" s="482" t="str">
        <f t="array" aca="1" ref="O88" ca="1">IF(ISERROR(MEDIAN(IF($G$4:$G$68="FF",O$4:O$68))),"",MEDIAN(IF($G$4:$G$68="FF",O$4:O$68)))</f>
        <v/>
      </c>
      <c r="P88" s="482" t="str">
        <f t="array" aca="1" ref="P88" ca="1">IF(ISERROR(MEDIAN(IF($G$4:$G$68="FF",P$4:P$68))),"",MEDIAN(IF($G$4:$G$68="FF",P$4:P$68)))</f>
        <v/>
      </c>
      <c r="U88" s="483" t="s">
        <v>189</v>
      </c>
      <c r="V88" s="482" t="str">
        <f t="array" aca="1" ref="V88" ca="1">IF(ISERROR(MEDIAN(IF($G$4:$G$68="FF",V$4:V$68))),"",MEDIAN(IF($G$4:$G$68="FF",V$4:V$68)))</f>
        <v/>
      </c>
      <c r="W88" s="482" t="str">
        <f t="array" aca="1" ref="W88" ca="1">IF(ISERROR(MEDIAN(IF($G$4:$G$68="FF",W$4:W$68))),"",MEDIAN(IF($G$4:$G$68="FF",W$4:W$68)))</f>
        <v/>
      </c>
      <c r="X88" s="482" t="str">
        <f t="array" aca="1" ref="X88" ca="1">IF(ISERROR(MEDIAN(IF($G$4:$G$68="FF",X$4:X$68))),"",MEDIAN(IF($G$4:$G$68="FF",X$4:X$68)))</f>
        <v/>
      </c>
      <c r="Y88" s="482" t="str">
        <f t="array" aca="1" ref="Y88" ca="1">IF(ISERROR(MEDIAN(IF($G$4:$G$68="FF",Y$4:Y$68))),"",MEDIAN(IF($G$4:$G$68="FF",Y$4:Y$68)))</f>
        <v/>
      </c>
      <c r="Z88" s="482" t="str">
        <f t="array" aca="1" ref="Z88" ca="1">IF(ISERROR(MEDIAN(IF($G$4:$G$68="FF",Z$4:Z$68))),"",MEDIAN(IF($G$4:$G$68="FF",Z$4:Z$68)))</f>
        <v/>
      </c>
      <c r="AA88" s="482" t="str">
        <f t="array" aca="1" ref="AA88" ca="1">IF(ISERROR(MEDIAN(IF($G$4:$G$68="FF",AA$4:AA$68))),"",MEDIAN(IF($G$4:$G$68="FF",AA$4:AA$68)))</f>
        <v/>
      </c>
      <c r="AB88" s="484" t="str">
        <f t="array" aca="1" ref="AB88" ca="1">IF(ISERROR(MEDIAN(IF($G$4:$G$68="FF",AB$4:AB$68))),"",MEDIAN(IF($G$4:$G$68="FF",AB$4:AB$68)))</f>
        <v/>
      </c>
      <c r="AC88" s="482" t="str">
        <f t="array" aca="1" ref="AC88" ca="1">IF(ISERROR(MEDIAN(IF($G$4:$G$68="FF",AC$4:AC$68))),"",MEDIAN(IF($G$4:$G$68="FF",AC$4:AC$68)))</f>
        <v/>
      </c>
      <c r="AD88" s="482" t="str">
        <f t="array" aca="1" ref="AD88" ca="1">IF(ISERROR(MEDIAN(IF($G$4:$G$68="FF",AD$4:AD$68))),"",MEDIAN(IF($G$4:$G$68="FF",AD$4:AD$68)))</f>
        <v/>
      </c>
      <c r="AE88" s="485" t="str">
        <f t="array" aca="1" ref="AE88" ca="1">IF(ISERROR(MEDIAN(IF($G$4:$G$68="FF",AE$4:AE$68))),"",MEDIAN(IF($G$4:$G$68="FF",AE$4:AE$68)))</f>
        <v/>
      </c>
      <c r="AF88" s="482" t="str">
        <f t="array" aca="1" ref="AF88" ca="1">IF(ISERROR(MEDIAN(IF($G$4:$G$68="FF",AF$4:AF$68))),"",MEDIAN(IF($G$4:$G$68="FF",AF$4:AF$68)))</f>
        <v/>
      </c>
      <c r="AG88" s="482" t="str">
        <f t="array" aca="1" ref="AG88" ca="1">IF(ISERROR(MEDIAN(IF($G$4:$G$68="FF",AG$4:AG$68))),"",MEDIAN(IF($G$4:$G$68="FF",AG$4:AG$68)))</f>
        <v/>
      </c>
      <c r="AH88" s="482" t="str">
        <f t="array" aca="1" ref="AH88" ca="1">IF(ISERROR(MEDIAN(IF($G$4:$G$68="FF",AH$4:AH$68))),"",MEDIAN(IF($G$4:$G$68="FF",AH$4:AH$68)))</f>
        <v/>
      </c>
      <c r="AI88" s="482" t="str">
        <f t="array" aca="1" ref="AI88" ca="1">IF(ISERROR(MEDIAN(IF($G$4:$G$68="FF",AI$4:AI$68))),"",MEDIAN(IF($G$4:$G$68="FF",AI$4:AI$68)))</f>
        <v/>
      </c>
      <c r="AJ88" s="482" t="str">
        <f t="array" aca="1" ref="AJ88" ca="1">IF(ISERROR(MEDIAN(IF($G$4:$G$68="FF",AJ$4:AJ$68))),"",MEDIAN(IF($G$4:$G$68="FF",AJ$4:AJ$68)))</f>
        <v/>
      </c>
      <c r="AK88" s="246" t="str">
        <f t="array" aca="1" ref="AK88" ca="1">IF(ISERROR(MEDIAN(IF($G$4:$G$68="FF",AK$4:AK$68))),"",MEDIAN(IF($G$4:$G$68="FF",AK$4:AK$68)))</f>
        <v/>
      </c>
    </row>
    <row r="89" spans="1:37" ht="15" customHeight="1">
      <c r="A89" s="321"/>
      <c r="F89" s="486" t="s">
        <v>190</v>
      </c>
      <c r="G89" s="492"/>
      <c r="H89" s="487" t="str">
        <f t="array" aca="1" ref="H89" ca="1">IF(ISERROR(MEDIAN(IF($G$4:$G$68="MM",H$4:H$68))),"",MEDIAN(IF($G$4:$G$68="MM",H$4:H$68)))</f>
        <v/>
      </c>
      <c r="I89" s="487"/>
      <c r="J89" s="487" t="str">
        <f t="array" aca="1" ref="J89" ca="1">IF(ISERROR(MEDIAN(IF($G$4:$G$68="MM",J$4:J$68))),"",MEDIAN(IF($G$4:$G$68="MM",J$4:J$68)))</f>
        <v/>
      </c>
      <c r="K89" s="487" t="str">
        <f t="array" aca="1" ref="K89" ca="1">IF(ISERROR(MEDIAN(IF($G$4:$G$68="MM",K$4:K$68))),"",MEDIAN(IF($G$4:$G$68="MM",K$4:K$68)))</f>
        <v/>
      </c>
      <c r="L89" s="487" t="str">
        <f t="array" aca="1" ref="L89" ca="1">IF(ISERROR(MEDIAN(IF($G$4:$G$68="MM",L$4:L$68))),"",MEDIAN(IF($G$4:$G$68="MM",L$4:L$68)))</f>
        <v/>
      </c>
      <c r="M89" s="487" t="str">
        <f t="array" aca="1" ref="M89" ca="1">IF(ISERROR(MEDIAN(IF($G$4:$G$68="MM",M$4:M$68))),"",MEDIAN(IF($G$4:$G$68="MM",M$4:M$68)))</f>
        <v/>
      </c>
      <c r="N89" s="487" t="str">
        <f t="array" aca="1" ref="N89" ca="1">IF(ISERROR(MEDIAN(IF($G$4:$G$68="MM",N$4:N$68))),"",MEDIAN(IF($G$4:$G$68="MM",N$4:N$68)))</f>
        <v/>
      </c>
      <c r="O89" s="487" t="str">
        <f t="array" aca="1" ref="O89" ca="1">IF(ISERROR(MEDIAN(IF($G$4:$G$68="MM",O$4:O$68))),"",MEDIAN(IF($G$4:$G$68="MM",O$4:O$68)))</f>
        <v/>
      </c>
      <c r="P89" s="487" t="str">
        <f t="array" aca="1" ref="P89" ca="1">IF(ISERROR(MEDIAN(IF($G$4:$G$68="MM",P$4:P$68))),"",MEDIAN(IF($G$4:$G$68="MM",P$4:P$68)))</f>
        <v/>
      </c>
      <c r="U89" s="488" t="s">
        <v>190</v>
      </c>
      <c r="V89" s="487" t="str">
        <f t="array" aca="1" ref="V89" ca="1">IF(ISERROR(MEDIAN(IF($G$4:$G$68="MM",V$4:V$68))),"",MEDIAN(IF($G$4:$G$68="MM",V$4:V$68)))</f>
        <v/>
      </c>
      <c r="W89" s="487" t="str">
        <f t="array" aca="1" ref="W89" ca="1">IF(ISERROR(MEDIAN(IF($G$4:$G$68="MM",W$4:W$68))),"",MEDIAN(IF($G$4:$G$68="MM",W$4:W$68)))</f>
        <v/>
      </c>
      <c r="X89" s="487" t="str">
        <f t="array" aca="1" ref="X89" ca="1">IF(ISERROR(MEDIAN(IF($G$4:$G$68="MM",X$4:X$68))),"",MEDIAN(IF($G$4:$G$68="MM",X$4:X$68)))</f>
        <v/>
      </c>
      <c r="Y89" s="487" t="str">
        <f t="array" aca="1" ref="Y89" ca="1">IF(ISERROR(MEDIAN(IF($G$4:$G$68="MM",Y$4:Y$68))),"",MEDIAN(IF($G$4:$G$68="MM",Y$4:Y$68)))</f>
        <v/>
      </c>
      <c r="Z89" s="487" t="str">
        <f t="array" aca="1" ref="Z89" ca="1">IF(ISERROR(MEDIAN(IF($G$4:$G$68="MM",Z$4:Z$68))),"",MEDIAN(IF($G$4:$G$68="MM",Z$4:Z$68)))</f>
        <v/>
      </c>
      <c r="AA89" s="487" t="str">
        <f t="array" aca="1" ref="AA89" ca="1">IF(ISERROR(MEDIAN(IF($G$4:$G$68="MM",AA$4:AA$68))),"",MEDIAN(IF($G$4:$G$68="MM",AA$4:AA$68)))</f>
        <v/>
      </c>
      <c r="AB89" s="489" t="str">
        <f t="array" aca="1" ref="AB89" ca="1">IF(ISERROR(MEDIAN(IF($G$4:$G$68="MM",AB$4:AB$68))),"",MEDIAN(IF($G$4:$G$68="MM",AB$4:AB$68)))</f>
        <v/>
      </c>
      <c r="AC89" s="487" t="str">
        <f t="array" aca="1" ref="AC89" ca="1">IF(ISERROR(MEDIAN(IF($G$4:$G$68="MM",AC$4:AC$68))),"",MEDIAN(IF($G$4:$G$68="MM",AC$4:AC$68)))</f>
        <v/>
      </c>
      <c r="AD89" s="487" t="str">
        <f t="array" aca="1" ref="AD89" ca="1">IF(ISERROR(MEDIAN(IF($G$4:$G$68="MM",AD$4:AD$68))),"",MEDIAN(IF($G$4:$G$68="MM",AD$4:AD$68)))</f>
        <v/>
      </c>
      <c r="AE89" s="490" t="str">
        <f t="array" aca="1" ref="AE89" ca="1">IF(ISERROR(MEDIAN(IF($G$4:$G$68="MM",AE$4:AE$68))),"",MEDIAN(IF($G$4:$G$68="MM",AE$4:AE$68)))</f>
        <v/>
      </c>
      <c r="AF89" s="487" t="str">
        <f t="array" aca="1" ref="AF89" ca="1">IF(ISERROR(MEDIAN(IF($G$4:$G$68="MM",AF$4:AF$68))),"",MEDIAN(IF($G$4:$G$68="MM",AF$4:AF$68)))</f>
        <v/>
      </c>
      <c r="AG89" s="487" t="str">
        <f t="array" aca="1" ref="AG89" ca="1">IF(ISERROR(MEDIAN(IF($G$4:$G$68="MM",AG$4:AG$68))),"",MEDIAN(IF($G$4:$G$68="MM",AG$4:AG$68)))</f>
        <v/>
      </c>
      <c r="AH89" s="487" t="str">
        <f t="array" aca="1" ref="AH89" ca="1">IF(ISERROR(MEDIAN(IF($G$4:$G$68="MM",AH$4:AH$68))),"",MEDIAN(IF($G$4:$G$68="MM",AH$4:AH$68)))</f>
        <v/>
      </c>
      <c r="AI89" s="487" t="str">
        <f t="array" aca="1" ref="AI89" ca="1">IF(ISERROR(MEDIAN(IF($G$4:$G$68="MM",AI$4:AI$68))),"",MEDIAN(IF($G$4:$G$68="MM",AI$4:AI$68)))</f>
        <v/>
      </c>
      <c r="AJ89" s="487" t="str">
        <f t="array" aca="1" ref="AJ89" ca="1">IF(ISERROR(MEDIAN(IF($G$4:$G$68="MM",AJ$4:AJ$68))),"",MEDIAN(IF($G$4:$G$68="MM",AJ$4:AJ$68)))</f>
        <v/>
      </c>
      <c r="AK89" s="256" t="str">
        <f t="array" aca="1" ref="AK89" ca="1">IF(ISERROR(MEDIAN(IF($G$4:$G$68="MM",AK$4:AK$68))),"",MEDIAN(IF($G$4:$G$68="MM",AK$4:AK$68)))</f>
        <v/>
      </c>
    </row>
    <row r="90" spans="1:37"/>
    <row r="91" spans="1:37"/>
    <row r="92" spans="1:37"/>
    <row r="93" spans="1:37"/>
    <row r="94" spans="1:37"/>
    <row r="95" spans="1:37"/>
    <row r="96" spans="1:37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 ht="12.75" customHeight="1"/>
    <row r="1048576" ht="6.75" customHeight="1"/>
  </sheetData>
  <sheetProtection sheet="1" objects="1" scenarios="1" selectLockedCells="1"/>
  <mergeCells count="15">
    <mergeCell ref="AF1:AJ1"/>
    <mergeCell ref="AB2:AB3"/>
    <mergeCell ref="B2:E2"/>
    <mergeCell ref="K2:M2"/>
    <mergeCell ref="N2:P2"/>
    <mergeCell ref="R2:U2"/>
    <mergeCell ref="AA2:AA3"/>
    <mergeCell ref="AJ2:AJ3"/>
    <mergeCell ref="AK2:AK3"/>
    <mergeCell ref="AD2:AD3"/>
    <mergeCell ref="AE2:AE3"/>
    <mergeCell ref="AF2:AF3"/>
    <mergeCell ref="AG2:AG3"/>
    <mergeCell ref="AH2:AH3"/>
    <mergeCell ref="AI2:AI3"/>
  </mergeCells>
  <dataValidations disablePrompts="1" count="2">
    <dataValidation type="list" allowBlank="1" showInputMessage="1" showErrorMessage="1" sqref="R10:U11 R4:U8 R13:U14 R16:U17 R19:U20 R22:U23 R25:U26 R28:U29 R31:U32 R34:U35 R37:U38 R40:U41 R43:U44 R46:U47 R49:U50 R52:U53 R55:U56 R58:U59 R61:U62 R64:U65 R67:U68 R70:U71 R73:U74 R76:U77 R79:U80" xr:uid="{87239269-3C78-4E82-B13C-9AE3F600824A}">
      <formula1>"OUI,NON"</formula1>
    </dataValidation>
    <dataValidation type="list" allowBlank="1" showInputMessage="1" showErrorMessage="1" sqref="Q4:Q80" xr:uid="{62BA4B4F-C8C7-4FF7-BEF8-55E4AC29EF5E}">
      <formula1>Zone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F0516-6DE3-48D1-A46A-8B1215EEE7F5}">
  <dimension ref="A1:W49"/>
  <sheetViews>
    <sheetView showGridLines="0" showRowColHeaders="0" workbookViewId="0">
      <pane xSplit="3" ySplit="2" topLeftCell="D3" activePane="bottomRight" state="frozen"/>
      <selection activeCell="B22" sqref="B22"/>
      <selection pane="topRight" activeCell="B22" sqref="B22"/>
      <selection pane="bottomLeft" activeCell="B22" sqref="B22"/>
      <selection pane="bottomRight" activeCell="D11" sqref="D11"/>
    </sheetView>
  </sheetViews>
  <sheetFormatPr baseColWidth="10" defaultColWidth="0" defaultRowHeight="0" customHeight="1" zeroHeight="1"/>
  <cols>
    <col min="1" max="1" width="3" style="1" customWidth="1"/>
    <col min="2" max="2" width="31" style="1" customWidth="1"/>
    <col min="3" max="3" width="3.7109375" style="1" customWidth="1"/>
    <col min="4" max="4" width="24" style="1" customWidth="1"/>
    <col min="5" max="5" width="25.42578125" style="1" customWidth="1"/>
    <col min="6" max="6" width="9" style="1" customWidth="1"/>
    <col min="7" max="7" width="5.5703125" style="1" customWidth="1"/>
    <col min="8" max="8" width="46.5703125" style="1" customWidth="1"/>
    <col min="9" max="9" width="11.42578125" style="1" customWidth="1"/>
    <col min="10" max="12" width="0" style="1" hidden="1" customWidth="1"/>
    <col min="13" max="13" width="3.85546875" style="1" hidden="1" customWidth="1"/>
    <col min="14" max="23" width="0" style="1" hidden="1" customWidth="1"/>
    <col min="24" max="16384" width="11.42578125" style="1" hidden="1"/>
  </cols>
  <sheetData>
    <row r="1" spans="1:8" ht="15" customHeight="1" thickBot="1">
      <c r="B1" s="619" t="s">
        <v>0</v>
      </c>
      <c r="C1" s="619"/>
      <c r="D1" s="620" t="s">
        <v>1</v>
      </c>
      <c r="E1" s="621"/>
      <c r="F1" s="621"/>
      <c r="G1" s="621"/>
      <c r="H1" s="621"/>
    </row>
    <row r="2" spans="1:8" ht="39" customHeight="1">
      <c r="B2" s="2" t="s">
        <v>2</v>
      </c>
      <c r="C2" s="2" t="s">
        <v>3</v>
      </c>
      <c r="D2" s="3" t="s">
        <v>4</v>
      </c>
      <c r="E2" s="4" t="s">
        <v>5</v>
      </c>
      <c r="F2" s="622" t="s">
        <v>6</v>
      </c>
      <c r="G2" s="622"/>
      <c r="H2" s="5" t="s">
        <v>7</v>
      </c>
    </row>
    <row r="3" spans="1:8" ht="15">
      <c r="A3" s="500">
        <v>1</v>
      </c>
      <c r="B3" s="501" t="str">
        <f t="shared" ref="B3:B39" si="0">IF(AND(ISBLANK(D3),ISBLANK(E3),ISBLANK(H3)),"",IF(F3&lt;&gt;"",F3,H3))</f>
        <v>A</v>
      </c>
      <c r="C3" s="6" t="s">
        <v>8</v>
      </c>
      <c r="D3" s="7"/>
      <c r="E3" s="8"/>
      <c r="F3" s="9" t="str">
        <f t="shared" ref="F3:F39" si="1">IF(AND(ISBLANK(D3),ISBLANK(E3)),"",CONCATENATE(D3," ",E3))</f>
        <v/>
      </c>
      <c r="G3" s="10" t="s">
        <v>9</v>
      </c>
      <c r="H3" s="11" t="s">
        <v>148</v>
      </c>
    </row>
    <row r="4" spans="1:8" ht="15">
      <c r="A4" s="500">
        <v>2</v>
      </c>
      <c r="B4" s="501" t="str">
        <f t="shared" si="0"/>
        <v>B</v>
      </c>
      <c r="C4" s="6" t="s">
        <v>10</v>
      </c>
      <c r="D4" s="7"/>
      <c r="E4" s="8"/>
      <c r="F4" s="9" t="str">
        <f t="shared" si="1"/>
        <v/>
      </c>
      <c r="G4" s="10" t="s">
        <v>9</v>
      </c>
      <c r="H4" s="11" t="s">
        <v>150</v>
      </c>
    </row>
    <row r="5" spans="1:8" ht="15">
      <c r="A5" s="500">
        <v>3</v>
      </c>
      <c r="B5" s="501" t="str">
        <f t="shared" si="0"/>
        <v>C</v>
      </c>
      <c r="C5" s="6" t="s">
        <v>10</v>
      </c>
      <c r="D5" s="7"/>
      <c r="E5" s="8"/>
      <c r="F5" s="9" t="str">
        <f t="shared" si="1"/>
        <v/>
      </c>
      <c r="G5" s="10" t="s">
        <v>9</v>
      </c>
      <c r="H5" s="11" t="s">
        <v>151</v>
      </c>
    </row>
    <row r="6" spans="1:8" ht="15">
      <c r="A6" s="500">
        <v>4</v>
      </c>
      <c r="B6" s="501" t="str">
        <f t="shared" si="0"/>
        <v>D</v>
      </c>
      <c r="C6" s="6" t="s">
        <v>10</v>
      </c>
      <c r="D6" s="7"/>
      <c r="E6" s="8"/>
      <c r="F6" s="9" t="str">
        <f t="shared" si="1"/>
        <v/>
      </c>
      <c r="G6" s="10" t="s">
        <v>9</v>
      </c>
      <c r="H6" s="11" t="s">
        <v>152</v>
      </c>
    </row>
    <row r="7" spans="1:8" ht="15">
      <c r="A7" s="500">
        <v>5</v>
      </c>
      <c r="B7" s="501" t="str">
        <f t="shared" si="0"/>
        <v>E</v>
      </c>
      <c r="C7" s="6" t="s">
        <v>10</v>
      </c>
      <c r="D7" s="7"/>
      <c r="E7" s="8"/>
      <c r="F7" s="503" t="str">
        <f t="shared" si="1"/>
        <v/>
      </c>
      <c r="G7" s="504" t="s">
        <v>9</v>
      </c>
      <c r="H7" s="11" t="s">
        <v>153</v>
      </c>
    </row>
    <row r="8" spans="1:8" ht="15">
      <c r="A8" s="500">
        <v>6</v>
      </c>
      <c r="B8" s="501" t="str">
        <f t="shared" si="0"/>
        <v>F</v>
      </c>
      <c r="C8" s="6" t="s">
        <v>8</v>
      </c>
      <c r="D8" s="7"/>
      <c r="E8" s="8"/>
      <c r="F8" s="503" t="str">
        <f t="shared" si="1"/>
        <v/>
      </c>
      <c r="G8" s="504" t="s">
        <v>9</v>
      </c>
      <c r="H8" s="11" t="s">
        <v>8</v>
      </c>
    </row>
    <row r="9" spans="1:8" ht="15">
      <c r="A9" s="500">
        <v>7</v>
      </c>
      <c r="B9" s="501" t="str">
        <f t="shared" si="0"/>
        <v>G</v>
      </c>
      <c r="C9" s="6" t="s">
        <v>10</v>
      </c>
      <c r="D9" s="7"/>
      <c r="E9" s="8"/>
      <c r="F9" s="503" t="str">
        <f t="shared" si="1"/>
        <v/>
      </c>
      <c r="G9" s="504" t="s">
        <v>9</v>
      </c>
      <c r="H9" s="11" t="s">
        <v>18</v>
      </c>
    </row>
    <row r="10" spans="1:8" ht="15">
      <c r="A10" s="500">
        <v>8</v>
      </c>
      <c r="B10" s="501" t="str">
        <f t="shared" si="0"/>
        <v>H</v>
      </c>
      <c r="C10" s="6" t="s">
        <v>8</v>
      </c>
      <c r="D10" s="7"/>
      <c r="E10" s="8"/>
      <c r="F10" s="503" t="str">
        <f t="shared" si="1"/>
        <v/>
      </c>
      <c r="G10" s="504" t="s">
        <v>9</v>
      </c>
      <c r="H10" s="11" t="s">
        <v>154</v>
      </c>
    </row>
    <row r="11" spans="1:8" ht="15">
      <c r="A11" s="500">
        <v>9</v>
      </c>
      <c r="B11" s="501" t="str">
        <f t="shared" si="0"/>
        <v>I</v>
      </c>
      <c r="C11" s="6" t="s">
        <v>10</v>
      </c>
      <c r="D11" s="7"/>
      <c r="E11" s="8"/>
      <c r="F11" s="503" t="str">
        <f t="shared" si="1"/>
        <v/>
      </c>
      <c r="G11" s="504" t="s">
        <v>9</v>
      </c>
      <c r="H11" s="11" t="s">
        <v>155</v>
      </c>
    </row>
    <row r="12" spans="1:8" ht="15">
      <c r="A12" s="500">
        <v>10</v>
      </c>
      <c r="B12" s="501" t="str">
        <f t="shared" si="0"/>
        <v xml:space="preserve">J </v>
      </c>
      <c r="C12" s="6" t="s">
        <v>10</v>
      </c>
      <c r="D12" s="7"/>
      <c r="E12" s="8"/>
      <c r="F12" s="503" t="str">
        <f t="shared" si="1"/>
        <v/>
      </c>
      <c r="G12" s="504" t="s">
        <v>9</v>
      </c>
      <c r="H12" s="11" t="s">
        <v>247</v>
      </c>
    </row>
    <row r="13" spans="1:8" ht="15">
      <c r="A13" s="500">
        <v>11</v>
      </c>
      <c r="B13" s="501" t="str">
        <f t="shared" si="0"/>
        <v>K</v>
      </c>
      <c r="C13" s="6" t="s">
        <v>10</v>
      </c>
      <c r="D13" s="7"/>
      <c r="E13" s="8"/>
      <c r="F13" s="503" t="str">
        <f t="shared" si="1"/>
        <v/>
      </c>
      <c r="G13" s="504" t="s">
        <v>9</v>
      </c>
      <c r="H13" s="11" t="s">
        <v>157</v>
      </c>
    </row>
    <row r="14" spans="1:8" ht="15">
      <c r="A14" s="500">
        <v>12</v>
      </c>
      <c r="B14" s="501" t="str">
        <f t="shared" si="0"/>
        <v>L</v>
      </c>
      <c r="C14" s="6" t="s">
        <v>10</v>
      </c>
      <c r="D14" s="7"/>
      <c r="E14" s="8"/>
      <c r="F14" s="503" t="str">
        <f t="shared" si="1"/>
        <v/>
      </c>
      <c r="G14" s="504" t="s">
        <v>9</v>
      </c>
      <c r="H14" s="11" t="s">
        <v>158</v>
      </c>
    </row>
    <row r="15" spans="1:8" ht="15">
      <c r="A15" s="500">
        <v>13</v>
      </c>
      <c r="B15" s="501" t="str">
        <f t="shared" si="0"/>
        <v>M</v>
      </c>
      <c r="C15" s="6" t="s">
        <v>8</v>
      </c>
      <c r="D15" s="7"/>
      <c r="E15" s="8"/>
      <c r="F15" s="503" t="str">
        <f t="shared" si="1"/>
        <v/>
      </c>
      <c r="G15" s="504" t="s">
        <v>9</v>
      </c>
      <c r="H15" s="11" t="s">
        <v>10</v>
      </c>
    </row>
    <row r="16" spans="1:8" ht="15">
      <c r="A16" s="500">
        <v>14</v>
      </c>
      <c r="B16" s="501" t="str">
        <f t="shared" si="0"/>
        <v>N</v>
      </c>
      <c r="C16" s="6" t="s">
        <v>10</v>
      </c>
      <c r="D16" s="7"/>
      <c r="E16" s="8"/>
      <c r="F16" s="503" t="str">
        <f t="shared" si="1"/>
        <v/>
      </c>
      <c r="G16" s="504" t="s">
        <v>9</v>
      </c>
      <c r="H16" s="11" t="s">
        <v>159</v>
      </c>
    </row>
    <row r="17" spans="1:8" ht="15">
      <c r="A17" s="500">
        <v>15</v>
      </c>
      <c r="B17" s="501" t="str">
        <f t="shared" si="0"/>
        <v>O</v>
      </c>
      <c r="C17" s="6" t="s">
        <v>8</v>
      </c>
      <c r="D17" s="7"/>
      <c r="E17" s="8"/>
      <c r="F17" s="503" t="str">
        <f t="shared" si="1"/>
        <v/>
      </c>
      <c r="G17" s="504" t="s">
        <v>9</v>
      </c>
      <c r="H17" s="11" t="s">
        <v>160</v>
      </c>
    </row>
    <row r="18" spans="1:8" ht="15">
      <c r="A18" s="500">
        <v>16</v>
      </c>
      <c r="B18" s="501" t="str">
        <f t="shared" si="0"/>
        <v>P</v>
      </c>
      <c r="C18" s="6" t="s">
        <v>10</v>
      </c>
      <c r="D18" s="7"/>
      <c r="E18" s="8"/>
      <c r="F18" s="503" t="str">
        <f t="shared" si="1"/>
        <v/>
      </c>
      <c r="G18" s="504" t="s">
        <v>9</v>
      </c>
      <c r="H18" s="11" t="s">
        <v>161</v>
      </c>
    </row>
    <row r="19" spans="1:8" ht="15">
      <c r="A19" s="500">
        <v>17</v>
      </c>
      <c r="B19" s="501" t="str">
        <f t="shared" si="0"/>
        <v>Q</v>
      </c>
      <c r="C19" s="6" t="s">
        <v>8</v>
      </c>
      <c r="D19" s="7"/>
      <c r="E19" s="8"/>
      <c r="F19" s="503" t="str">
        <f t="shared" si="1"/>
        <v/>
      </c>
      <c r="G19" s="504" t="s">
        <v>9</v>
      </c>
      <c r="H19" s="11" t="s">
        <v>162</v>
      </c>
    </row>
    <row r="20" spans="1:8" ht="15">
      <c r="A20" s="500">
        <v>18</v>
      </c>
      <c r="B20" s="501" t="str">
        <f t="shared" si="0"/>
        <v>R</v>
      </c>
      <c r="C20" s="6" t="s">
        <v>8</v>
      </c>
      <c r="D20" s="7"/>
      <c r="E20" s="8"/>
      <c r="F20" s="503" t="str">
        <f t="shared" si="1"/>
        <v/>
      </c>
      <c r="G20" s="504" t="s">
        <v>9</v>
      </c>
      <c r="H20" s="11" t="s">
        <v>163</v>
      </c>
    </row>
    <row r="21" spans="1:8" ht="15">
      <c r="A21" s="500">
        <v>19</v>
      </c>
      <c r="B21" s="501" t="str">
        <f t="shared" si="0"/>
        <v>S</v>
      </c>
      <c r="C21" s="6" t="s">
        <v>8</v>
      </c>
      <c r="D21" s="7"/>
      <c r="E21" s="8"/>
      <c r="F21" s="503" t="str">
        <f t="shared" si="1"/>
        <v/>
      </c>
      <c r="G21" s="504" t="s">
        <v>9</v>
      </c>
      <c r="H21" s="11" t="s">
        <v>164</v>
      </c>
    </row>
    <row r="22" spans="1:8" ht="15">
      <c r="A22" s="500">
        <v>20</v>
      </c>
      <c r="B22" s="501" t="str">
        <f t="shared" si="0"/>
        <v>T</v>
      </c>
      <c r="C22" s="6" t="s">
        <v>8</v>
      </c>
      <c r="D22" s="7"/>
      <c r="E22" s="8"/>
      <c r="F22" s="503" t="str">
        <f t="shared" si="1"/>
        <v/>
      </c>
      <c r="G22" s="504" t="s">
        <v>9</v>
      </c>
      <c r="H22" s="11" t="s">
        <v>165</v>
      </c>
    </row>
    <row r="23" spans="1:8" ht="15">
      <c r="A23" s="500">
        <v>21</v>
      </c>
      <c r="B23" s="501" t="str">
        <f t="shared" si="0"/>
        <v>U</v>
      </c>
      <c r="C23" s="6" t="s">
        <v>8</v>
      </c>
      <c r="D23" s="7"/>
      <c r="E23" s="8"/>
      <c r="F23" s="503" t="str">
        <f t="shared" si="1"/>
        <v/>
      </c>
      <c r="G23" s="504" t="s">
        <v>9</v>
      </c>
      <c r="H23" s="11" t="s">
        <v>227</v>
      </c>
    </row>
    <row r="24" spans="1:8" ht="15">
      <c r="A24" s="500">
        <v>22</v>
      </c>
      <c r="B24" s="501" t="str">
        <f t="shared" si="0"/>
        <v>V</v>
      </c>
      <c r="C24" s="6" t="s">
        <v>8</v>
      </c>
      <c r="D24" s="7"/>
      <c r="E24" s="8"/>
      <c r="F24" s="503" t="str">
        <f t="shared" si="1"/>
        <v/>
      </c>
      <c r="G24" s="504" t="s">
        <v>9</v>
      </c>
      <c r="H24" s="11" t="s">
        <v>248</v>
      </c>
    </row>
    <row r="25" spans="1:8" ht="15">
      <c r="A25" s="500">
        <v>23</v>
      </c>
      <c r="B25" s="501" t="str">
        <f t="shared" si="0"/>
        <v>W</v>
      </c>
      <c r="C25" s="6" t="s">
        <v>8</v>
      </c>
      <c r="D25" s="7"/>
      <c r="E25" s="8"/>
      <c r="F25" s="503" t="str">
        <f t="shared" si="1"/>
        <v/>
      </c>
      <c r="G25" s="504" t="s">
        <v>9</v>
      </c>
      <c r="H25" s="11" t="s">
        <v>229</v>
      </c>
    </row>
    <row r="26" spans="1:8" ht="15">
      <c r="A26" s="500">
        <v>24</v>
      </c>
      <c r="B26" s="501" t="str">
        <f t="shared" si="0"/>
        <v>X</v>
      </c>
      <c r="C26" s="6" t="s">
        <v>10</v>
      </c>
      <c r="D26" s="7"/>
      <c r="E26" s="8"/>
      <c r="F26" s="503" t="str">
        <f t="shared" si="1"/>
        <v/>
      </c>
      <c r="G26" s="504" t="s">
        <v>9</v>
      </c>
      <c r="H26" s="11" t="s">
        <v>230</v>
      </c>
    </row>
    <row r="27" spans="1:8" ht="15">
      <c r="A27" s="500">
        <v>25</v>
      </c>
      <c r="B27" s="501" t="str">
        <f t="shared" si="0"/>
        <v>Y</v>
      </c>
      <c r="C27" s="6" t="s">
        <v>8</v>
      </c>
      <c r="D27" s="7"/>
      <c r="E27" s="8"/>
      <c r="F27" s="503" t="str">
        <f t="shared" si="1"/>
        <v/>
      </c>
      <c r="G27" s="504" t="s">
        <v>9</v>
      </c>
      <c r="H27" s="11" t="s">
        <v>231</v>
      </c>
    </row>
    <row r="28" spans="1:8" ht="15">
      <c r="A28" s="500">
        <v>26</v>
      </c>
      <c r="B28" s="501" t="str">
        <f t="shared" si="0"/>
        <v>Z</v>
      </c>
      <c r="C28" s="6" t="s">
        <v>8</v>
      </c>
      <c r="D28" s="7"/>
      <c r="E28" s="8"/>
      <c r="F28" s="503" t="str">
        <f t="shared" si="1"/>
        <v/>
      </c>
      <c r="G28" s="504" t="s">
        <v>9</v>
      </c>
      <c r="H28" s="11" t="s">
        <v>232</v>
      </c>
    </row>
    <row r="29" spans="1:8" ht="15">
      <c r="A29" s="500">
        <v>27</v>
      </c>
      <c r="B29" s="501" t="str">
        <f t="shared" si="0"/>
        <v/>
      </c>
      <c r="C29" s="6"/>
      <c r="D29" s="7"/>
      <c r="E29" s="8"/>
      <c r="F29" s="503" t="str">
        <f t="shared" si="1"/>
        <v/>
      </c>
      <c r="G29" s="504" t="s">
        <v>9</v>
      </c>
      <c r="H29" s="11"/>
    </row>
    <row r="30" spans="1:8" ht="15">
      <c r="A30" s="500">
        <v>28</v>
      </c>
      <c r="B30" s="501" t="str">
        <f t="shared" si="0"/>
        <v/>
      </c>
      <c r="C30" s="6"/>
      <c r="D30" s="7"/>
      <c r="E30" s="8"/>
      <c r="F30" s="503" t="str">
        <f t="shared" si="1"/>
        <v/>
      </c>
      <c r="G30" s="504" t="s">
        <v>9</v>
      </c>
      <c r="H30" s="11"/>
    </row>
    <row r="31" spans="1:8" ht="15">
      <c r="A31" s="500">
        <v>29</v>
      </c>
      <c r="B31" s="501" t="str">
        <f t="shared" si="0"/>
        <v/>
      </c>
      <c r="C31" s="6"/>
      <c r="D31" s="7"/>
      <c r="E31" s="8"/>
      <c r="F31" s="503" t="str">
        <f t="shared" si="1"/>
        <v/>
      </c>
      <c r="G31" s="504" t="s">
        <v>9</v>
      </c>
      <c r="H31" s="11"/>
    </row>
    <row r="32" spans="1:8" ht="15">
      <c r="A32" s="500">
        <v>30</v>
      </c>
      <c r="B32" s="501" t="str">
        <f t="shared" si="0"/>
        <v/>
      </c>
      <c r="C32" s="6"/>
      <c r="D32" s="7"/>
      <c r="E32" s="8"/>
      <c r="F32" s="503" t="str">
        <f t="shared" si="1"/>
        <v/>
      </c>
      <c r="G32" s="504" t="s">
        <v>9</v>
      </c>
      <c r="H32" s="11"/>
    </row>
    <row r="33" spans="1:8" ht="15">
      <c r="A33" s="500">
        <v>31</v>
      </c>
      <c r="B33" s="501" t="str">
        <f t="shared" si="0"/>
        <v/>
      </c>
      <c r="C33" s="6"/>
      <c r="D33" s="7"/>
      <c r="E33" s="8"/>
      <c r="F33" s="503" t="str">
        <f t="shared" si="1"/>
        <v/>
      </c>
      <c r="G33" s="504" t="s">
        <v>9</v>
      </c>
      <c r="H33" s="11"/>
    </row>
    <row r="34" spans="1:8" ht="15">
      <c r="A34" s="500">
        <v>32</v>
      </c>
      <c r="B34" s="501" t="str">
        <f t="shared" si="0"/>
        <v/>
      </c>
      <c r="C34" s="6"/>
      <c r="D34" s="7"/>
      <c r="E34" s="8"/>
      <c r="F34" s="503" t="str">
        <f t="shared" si="1"/>
        <v/>
      </c>
      <c r="G34" s="504" t="s">
        <v>9</v>
      </c>
      <c r="H34" s="11"/>
    </row>
    <row r="35" spans="1:8" ht="15">
      <c r="A35" s="500">
        <v>33</v>
      </c>
      <c r="B35" s="501" t="str">
        <f t="shared" si="0"/>
        <v/>
      </c>
      <c r="C35" s="6"/>
      <c r="D35" s="7"/>
      <c r="E35" s="8"/>
      <c r="F35" s="503" t="str">
        <f t="shared" si="1"/>
        <v/>
      </c>
      <c r="G35" s="504" t="s">
        <v>9</v>
      </c>
      <c r="H35" s="11"/>
    </row>
    <row r="36" spans="1:8" ht="15">
      <c r="A36" s="500">
        <v>34</v>
      </c>
      <c r="B36" s="501" t="str">
        <f t="shared" si="0"/>
        <v/>
      </c>
      <c r="C36" s="6"/>
      <c r="D36" s="7"/>
      <c r="E36" s="8"/>
      <c r="F36" s="503" t="str">
        <f t="shared" si="1"/>
        <v/>
      </c>
      <c r="G36" s="504" t="s">
        <v>9</v>
      </c>
      <c r="H36" s="11"/>
    </row>
    <row r="37" spans="1:8" ht="15">
      <c r="A37" s="500">
        <v>35</v>
      </c>
      <c r="B37" s="501" t="str">
        <f t="shared" si="0"/>
        <v/>
      </c>
      <c r="C37" s="6"/>
      <c r="D37" s="7"/>
      <c r="E37" s="8"/>
      <c r="F37" s="503" t="str">
        <f t="shared" si="1"/>
        <v/>
      </c>
      <c r="G37" s="504" t="s">
        <v>9</v>
      </c>
      <c r="H37" s="11"/>
    </row>
    <row r="38" spans="1:8" ht="15">
      <c r="A38" s="500">
        <v>36</v>
      </c>
      <c r="B38" s="501" t="str">
        <f t="shared" si="0"/>
        <v/>
      </c>
      <c r="C38" s="6"/>
      <c r="D38" s="7"/>
      <c r="E38" s="8"/>
      <c r="F38" s="503" t="str">
        <f t="shared" si="1"/>
        <v/>
      </c>
      <c r="G38" s="504" t="s">
        <v>9</v>
      </c>
      <c r="H38" s="11"/>
    </row>
    <row r="39" spans="1:8" ht="15.75" thickBot="1">
      <c r="A39" s="500">
        <v>37</v>
      </c>
      <c r="B39" s="502" t="str">
        <f t="shared" si="0"/>
        <v/>
      </c>
      <c r="C39" s="12"/>
      <c r="D39" s="13"/>
      <c r="E39" s="14"/>
      <c r="F39" s="503" t="str">
        <f t="shared" si="1"/>
        <v/>
      </c>
      <c r="G39" s="504" t="s">
        <v>9</v>
      </c>
      <c r="H39" s="15"/>
    </row>
    <row r="40" spans="1:8" ht="12.75">
      <c r="C40" s="16"/>
    </row>
    <row r="41" spans="1:8" ht="12.75">
      <c r="B41" s="17" t="s">
        <v>8</v>
      </c>
      <c r="C41" s="18">
        <f>COUNTIF($C$3:$C$39,"F")</f>
        <v>14</v>
      </c>
    </row>
    <row r="42" spans="1:8" ht="12.75">
      <c r="B42" s="19" t="s">
        <v>10</v>
      </c>
      <c r="C42" s="18">
        <f>COUNTIF($C$3:$C$39,"M")</f>
        <v>12</v>
      </c>
    </row>
    <row r="43" spans="1:8" ht="12.75"/>
    <row r="44" spans="1:8" ht="12.75" hidden="1"/>
    <row r="45" spans="1:8" ht="12.75" hidden="1"/>
    <row r="46" spans="1:8" ht="12.75" hidden="1"/>
    <row r="47" spans="1:8" ht="12.75" hidden="1"/>
    <row r="48" spans="1:8" ht="12.75" hidden="1"/>
    <row r="49" ht="12.75" hidden="1"/>
  </sheetData>
  <sheetProtection sheet="1" objects="1" scenarios="1" formatColumns="0" selectLockedCells="1"/>
  <mergeCells count="3">
    <mergeCell ref="B1:C1"/>
    <mergeCell ref="D1:H1"/>
    <mergeCell ref="F2:G2"/>
  </mergeCells>
  <pageMargins left="0.69930555555555596" right="0.69930555555555596" top="0.75" bottom="0.75" header="0.3" footer="0.3"/>
  <pageSetup paperSize="9" orientation="landscape" horizontalDpi="1200" verticalDpi="12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A2738-9CD9-4756-B43F-1E715FB5481D}">
  <dimension ref="A1:AX45"/>
  <sheetViews>
    <sheetView showGridLines="0" showRowColHeaders="0" workbookViewId="0">
      <selection activeCell="B18" sqref="B18"/>
    </sheetView>
  </sheetViews>
  <sheetFormatPr baseColWidth="10" defaultColWidth="0" defaultRowHeight="15" zeroHeight="1"/>
  <cols>
    <col min="1" max="1" width="4" style="24" customWidth="1"/>
    <col min="2" max="2" width="5.140625" style="24" bestFit="1" customWidth="1"/>
    <col min="3" max="3" width="9.28515625" style="24" bestFit="1" customWidth="1"/>
    <col min="4" max="4" width="5.140625" style="24" bestFit="1" customWidth="1"/>
    <col min="5" max="5" width="9.28515625" style="24" bestFit="1" customWidth="1"/>
    <col min="6" max="6" width="5.85546875" style="24" bestFit="1" customWidth="1"/>
    <col min="7" max="7" width="5.85546875" style="24" customWidth="1"/>
    <col min="8" max="8" width="5.140625" style="24" bestFit="1" customWidth="1"/>
    <col min="9" max="9" width="9.28515625" style="24" bestFit="1" customWidth="1"/>
    <col min="10" max="10" width="5.140625" style="24" bestFit="1" customWidth="1"/>
    <col min="11" max="11" width="11.5703125" style="24" bestFit="1" customWidth="1"/>
    <col min="12" max="12" width="5.85546875" style="24" bestFit="1" customWidth="1"/>
    <col min="13" max="13" width="5.85546875" style="24" customWidth="1"/>
    <col min="14" max="14" width="6.140625" style="24" bestFit="1" customWidth="1"/>
    <col min="15" max="15" width="9.28515625" style="24" bestFit="1" customWidth="1"/>
    <col min="16" max="16" width="6.140625" style="24" bestFit="1" customWidth="1"/>
    <col min="17" max="17" width="9.28515625" style="24" bestFit="1" customWidth="1"/>
    <col min="18" max="18" width="5.85546875" style="24" bestFit="1" customWidth="1"/>
    <col min="19" max="19" width="6.42578125" style="24" customWidth="1"/>
    <col min="20" max="20" width="6.140625" style="24" bestFit="1" customWidth="1"/>
    <col min="21" max="21" width="9.28515625" style="24" bestFit="1" customWidth="1"/>
    <col min="22" max="22" width="6.140625" style="24" bestFit="1" customWidth="1"/>
    <col min="23" max="23" width="9.28515625" style="24" bestFit="1" customWidth="1"/>
    <col min="24" max="24" width="5.85546875" style="24" bestFit="1" customWidth="1"/>
    <col min="25" max="25" width="6.42578125" style="24" customWidth="1"/>
    <col min="26" max="26" width="6.140625" style="24" bestFit="1" customWidth="1"/>
    <col min="27" max="27" width="9.28515625" style="24" bestFit="1" customWidth="1"/>
    <col min="28" max="28" width="6.140625" style="24" bestFit="1" customWidth="1"/>
    <col min="29" max="29" width="9.28515625" style="24" bestFit="1" customWidth="1"/>
    <col min="30" max="30" width="6.140625" style="24" bestFit="1" customWidth="1"/>
    <col min="31" max="31" width="9.28515625" style="24" bestFit="1" customWidth="1"/>
    <col min="32" max="32" width="5.85546875" style="24" bestFit="1" customWidth="1"/>
    <col min="33" max="33" width="7.42578125" customWidth="1"/>
    <col min="34" max="34" width="6.28515625" style="24" bestFit="1" customWidth="1"/>
    <col min="35" max="35" width="4.5703125" style="24" bestFit="1" customWidth="1"/>
    <col min="36" max="36" width="9.140625" style="72" customWidth="1"/>
    <col min="37" max="37" width="9.5703125" style="24" customWidth="1"/>
    <col min="38" max="38" width="54" style="24" customWidth="1"/>
    <col min="39" max="39" width="7.140625" style="24" bestFit="1" customWidth="1"/>
    <col min="40" max="40" width="4" style="24" bestFit="1" customWidth="1"/>
    <col min="41" max="41" width="5.7109375" style="24" customWidth="1"/>
    <col min="42" max="42" width="3" style="24" bestFit="1" customWidth="1"/>
    <col min="43" max="43" width="20.42578125" style="24" customWidth="1"/>
    <col min="44" max="44" width="25.28515625" style="24" customWidth="1"/>
    <col min="45" max="45" width="9.85546875" style="24" customWidth="1"/>
    <col min="46" max="46" width="22.42578125" style="24" customWidth="1"/>
    <col min="47" max="47" width="13.42578125" style="24" bestFit="1" customWidth="1"/>
    <col min="48" max="50" width="9.85546875" style="24" customWidth="1"/>
    <col min="51" max="16384" width="9.85546875" style="24" hidden="1"/>
  </cols>
  <sheetData>
    <row r="1" spans="1:45" ht="15.75" thickBot="1"/>
    <row r="2" spans="1:45" ht="55.5" customHeight="1">
      <c r="B2" s="628" t="s">
        <v>11</v>
      </c>
      <c r="C2" s="629"/>
      <c r="D2" s="629"/>
      <c r="E2" s="629"/>
      <c r="F2" s="630"/>
      <c r="G2" s="20"/>
      <c r="H2" s="628" t="s">
        <v>12</v>
      </c>
      <c r="I2" s="629"/>
      <c r="J2" s="629"/>
      <c r="K2" s="629"/>
      <c r="L2" s="630"/>
      <c r="M2" s="21"/>
      <c r="N2" s="631" t="s">
        <v>13</v>
      </c>
      <c r="O2" s="631"/>
      <c r="P2" s="632"/>
      <c r="Q2" s="632"/>
      <c r="R2" s="632"/>
      <c r="S2" s="20"/>
      <c r="T2" s="633" t="s">
        <v>14</v>
      </c>
      <c r="U2" s="634"/>
      <c r="V2" s="629"/>
      <c r="W2" s="629"/>
      <c r="X2" s="630"/>
      <c r="Y2" s="22"/>
      <c r="Z2" s="633" t="s">
        <v>15</v>
      </c>
      <c r="AA2" s="634"/>
      <c r="AB2" s="634"/>
      <c r="AC2" s="634"/>
      <c r="AD2" s="634"/>
      <c r="AE2" s="634"/>
      <c r="AF2" s="635"/>
      <c r="AH2" s="636" t="s">
        <v>16</v>
      </c>
      <c r="AI2" s="636"/>
      <c r="AJ2" s="20"/>
      <c r="AK2" s="637" t="s">
        <v>246</v>
      </c>
      <c r="AL2" s="638"/>
      <c r="AM2" s="23"/>
      <c r="AN2" s="23"/>
      <c r="AO2" s="23"/>
      <c r="AP2" s="20"/>
      <c r="AQ2" s="20"/>
      <c r="AR2" s="20"/>
      <c r="AS2" s="20"/>
    </row>
    <row r="3" spans="1:45" ht="20.100000000000001" customHeight="1">
      <c r="B3" s="25" t="s">
        <v>17</v>
      </c>
      <c r="C3" s="25">
        <v>10</v>
      </c>
      <c r="D3" s="26" t="s">
        <v>18</v>
      </c>
      <c r="E3" s="26">
        <v>10</v>
      </c>
      <c r="F3" s="27" t="s">
        <v>19</v>
      </c>
      <c r="G3" s="20"/>
      <c r="H3" s="25" t="s">
        <v>17</v>
      </c>
      <c r="I3" s="25">
        <v>15</v>
      </c>
      <c r="J3" s="26" t="s">
        <v>18</v>
      </c>
      <c r="K3" s="26">
        <v>15</v>
      </c>
      <c r="L3" s="27" t="s">
        <v>19</v>
      </c>
      <c r="M3" s="28"/>
      <c r="N3" s="25" t="s">
        <v>17</v>
      </c>
      <c r="O3" s="25">
        <v>30</v>
      </c>
      <c r="P3" s="26" t="s">
        <v>18</v>
      </c>
      <c r="Q3" s="26">
        <v>30</v>
      </c>
      <c r="R3" s="27" t="s">
        <v>19</v>
      </c>
      <c r="S3" s="20"/>
      <c r="T3" s="25" t="s">
        <v>17</v>
      </c>
      <c r="U3" s="25">
        <v>40</v>
      </c>
      <c r="V3" s="26" t="s">
        <v>18</v>
      </c>
      <c r="W3" s="26">
        <v>40</v>
      </c>
      <c r="X3" s="27" t="s">
        <v>19</v>
      </c>
      <c r="Y3" s="29"/>
      <c r="Z3" s="25" t="s">
        <v>8</v>
      </c>
      <c r="AA3" s="25">
        <v>120</v>
      </c>
      <c r="AB3" s="26" t="s">
        <v>18</v>
      </c>
      <c r="AC3" s="26">
        <v>120</v>
      </c>
      <c r="AD3" s="30" t="s">
        <v>20</v>
      </c>
      <c r="AE3" s="30">
        <v>120</v>
      </c>
      <c r="AF3" s="27" t="s">
        <v>19</v>
      </c>
      <c r="AH3" s="31">
        <v>0.4</v>
      </c>
      <c r="AI3" s="32">
        <v>0</v>
      </c>
      <c r="AJ3" s="20"/>
      <c r="AK3" s="33">
        <v>1</v>
      </c>
      <c r="AL3" s="616" t="s">
        <v>21</v>
      </c>
      <c r="AM3" s="34"/>
      <c r="AN3" s="34"/>
      <c r="AO3" s="34"/>
      <c r="AP3" s="20"/>
      <c r="AQ3" s="639" t="s">
        <v>22</v>
      </c>
      <c r="AR3" s="639"/>
      <c r="AS3" s="20"/>
    </row>
    <row r="4" spans="1:45" ht="20.100000000000001" customHeight="1">
      <c r="B4" s="35">
        <v>1</v>
      </c>
      <c r="C4" s="36"/>
      <c r="D4" s="36">
        <v>1</v>
      </c>
      <c r="E4" s="36"/>
      <c r="F4" s="37">
        <v>5</v>
      </c>
      <c r="G4" s="38"/>
      <c r="H4" s="40">
        <v>1</v>
      </c>
      <c r="I4" s="40"/>
      <c r="J4" s="40">
        <v>1</v>
      </c>
      <c r="K4" s="40"/>
      <c r="L4" s="37">
        <v>5</v>
      </c>
      <c r="M4" s="39"/>
      <c r="N4" s="40">
        <v>3</v>
      </c>
      <c r="O4" s="615"/>
      <c r="P4" s="40">
        <v>3</v>
      </c>
      <c r="Q4" s="40"/>
      <c r="R4" s="42">
        <v>5</v>
      </c>
      <c r="S4" s="38"/>
      <c r="T4" s="35">
        <v>3</v>
      </c>
      <c r="U4" s="36"/>
      <c r="V4" s="36">
        <v>3</v>
      </c>
      <c r="W4" s="36"/>
      <c r="X4" s="42">
        <v>5</v>
      </c>
      <c r="Y4" s="43"/>
      <c r="Z4" s="44">
        <v>6</v>
      </c>
      <c r="AA4" s="44"/>
      <c r="AB4" s="44">
        <v>6</v>
      </c>
      <c r="AC4" s="44"/>
      <c r="AD4" s="44">
        <v>6</v>
      </c>
      <c r="AE4" s="44"/>
      <c r="AF4" s="42">
        <v>5</v>
      </c>
      <c r="AH4" s="493">
        <v>9.7500000000000003E-2</v>
      </c>
      <c r="AI4" s="32">
        <v>0.25</v>
      </c>
      <c r="AJ4" s="20"/>
      <c r="AK4" s="33">
        <v>1</v>
      </c>
      <c r="AL4" s="616" t="s">
        <v>23</v>
      </c>
      <c r="AM4" s="34"/>
      <c r="AN4" s="34"/>
      <c r="AO4" s="34"/>
      <c r="AP4" s="20"/>
      <c r="AQ4" s="640"/>
      <c r="AR4" s="640"/>
      <c r="AS4" s="47"/>
    </row>
    <row r="5" spans="1:45" ht="20.100000000000001" customHeight="1">
      <c r="B5" s="496">
        <v>2.4</v>
      </c>
      <c r="C5" s="41">
        <f t="shared" ref="C5:C10" si="0">ROUND(($C$3/B5)*3.6,1)</f>
        <v>15</v>
      </c>
      <c r="D5" s="494">
        <v>1.9</v>
      </c>
      <c r="E5" s="41">
        <f t="shared" ref="E5:E10" si="1">ROUND(($E$3/D5)*3.6,1)</f>
        <v>18.899999999999999</v>
      </c>
      <c r="F5" s="37">
        <v>5</v>
      </c>
      <c r="G5" s="38"/>
      <c r="H5" s="496">
        <v>3.2</v>
      </c>
      <c r="I5" s="615">
        <f t="shared" ref="I5:I10" si="2">ROUND(($I$3/H5)*3.6,1)</f>
        <v>16.899999999999999</v>
      </c>
      <c r="J5" s="496">
        <v>2.8</v>
      </c>
      <c r="K5" s="615">
        <f t="shared" ref="K5:K10" si="3">ROUND(($K$3/J5)*3.6,1)</f>
        <v>19.3</v>
      </c>
      <c r="L5" s="37">
        <v>5</v>
      </c>
      <c r="M5" s="39"/>
      <c r="N5" s="496">
        <v>5.5</v>
      </c>
      <c r="O5" s="615">
        <f>ROUND(($O$3/N5)*3.6,1)</f>
        <v>19.600000000000001</v>
      </c>
      <c r="P5" s="496">
        <v>4.7</v>
      </c>
      <c r="Q5" s="615">
        <f>ROUND(($Q$3/P5)*3.6,1)</f>
        <v>23</v>
      </c>
      <c r="R5" s="42">
        <v>5</v>
      </c>
      <c r="S5" s="38"/>
      <c r="T5" s="496">
        <v>6.6</v>
      </c>
      <c r="U5" s="615">
        <f>ROUND(($U$3/T5)*3.6,1)</f>
        <v>21.8</v>
      </c>
      <c r="V5" s="496">
        <v>5.7</v>
      </c>
      <c r="W5" s="615">
        <f>ROUND(($W$3/V5)*3.6,1)</f>
        <v>25.3</v>
      </c>
      <c r="X5" s="42">
        <v>5</v>
      </c>
      <c r="Y5" s="43"/>
      <c r="Z5" s="496">
        <v>20.8</v>
      </c>
      <c r="AA5" s="41">
        <f>ROUND(($AA$3/Z5)*3.6,1)</f>
        <v>20.8</v>
      </c>
      <c r="AB5" s="494">
        <v>18</v>
      </c>
      <c r="AC5" s="41">
        <f>ROUND(($AC$3/AB5)*3.6,1)</f>
        <v>24</v>
      </c>
      <c r="AD5" s="44">
        <f>(AB5+Z5)/2</f>
        <v>19.399999999999999</v>
      </c>
      <c r="AE5" s="41">
        <f>ROUND(($AE$3/AD5)*3.6,1)</f>
        <v>22.3</v>
      </c>
      <c r="AF5" s="42">
        <v>6</v>
      </c>
      <c r="AH5" s="493">
        <v>9.5000000000000001E-2</v>
      </c>
      <c r="AI5" s="32">
        <v>0.5</v>
      </c>
      <c r="AJ5" s="20"/>
      <c r="AK5" s="33">
        <v>1</v>
      </c>
      <c r="AL5" s="616" t="s">
        <v>24</v>
      </c>
      <c r="AM5" s="34"/>
      <c r="AN5" s="34"/>
      <c r="AO5" s="34"/>
      <c r="AP5" s="20"/>
      <c r="AQ5" s="48" t="s">
        <v>25</v>
      </c>
      <c r="AR5" s="49" t="s">
        <v>26</v>
      </c>
      <c r="AS5" s="20"/>
    </row>
    <row r="6" spans="1:45" ht="20.100000000000001" customHeight="1" thickBot="1">
      <c r="B6" s="40">
        <f>B5+0.2</f>
        <v>2.6</v>
      </c>
      <c r="C6" s="41">
        <f t="shared" si="0"/>
        <v>13.8</v>
      </c>
      <c r="D6" s="36">
        <f>D5+0.2</f>
        <v>2.1</v>
      </c>
      <c r="E6" s="41">
        <f t="shared" si="1"/>
        <v>17.100000000000001</v>
      </c>
      <c r="F6" s="37">
        <v>4</v>
      </c>
      <c r="G6" s="38"/>
      <c r="H6" s="40">
        <f>H5+0.2</f>
        <v>3.4000000000000004</v>
      </c>
      <c r="I6" s="615">
        <f t="shared" si="2"/>
        <v>15.9</v>
      </c>
      <c r="J6" s="40">
        <f>J5+0.2</f>
        <v>3</v>
      </c>
      <c r="K6" s="615">
        <f t="shared" si="3"/>
        <v>18</v>
      </c>
      <c r="L6" s="37">
        <v>4</v>
      </c>
      <c r="M6" s="39"/>
      <c r="N6" s="40">
        <f>N5+0.1</f>
        <v>5.6</v>
      </c>
      <c r="O6" s="615">
        <f t="shared" ref="O6:O24" si="4">ROUND(($O$3/N6)*3.6,1)</f>
        <v>19.3</v>
      </c>
      <c r="P6" s="40">
        <f>P5+0.1</f>
        <v>4.8</v>
      </c>
      <c r="Q6" s="615">
        <f t="shared" ref="Q6:Q24" si="5">ROUND(($Q$3/P6)*3.6,1)</f>
        <v>22.5</v>
      </c>
      <c r="R6" s="42">
        <v>4.75</v>
      </c>
      <c r="S6" s="38"/>
      <c r="T6" s="40">
        <f t="shared" ref="T6:T13" si="6">T5+0.2</f>
        <v>6.8</v>
      </c>
      <c r="U6" s="615">
        <f t="shared" ref="U6:U24" si="7">ROUND(($U$3/T6)*3.6,1)</f>
        <v>21.2</v>
      </c>
      <c r="V6" s="40">
        <f t="shared" ref="V6:V13" si="8">V5+0.2</f>
        <v>5.9</v>
      </c>
      <c r="W6" s="615">
        <f t="shared" ref="W6:W24" si="9">ROUND(($W$3/V6)*3.6,1)</f>
        <v>24.4</v>
      </c>
      <c r="X6" s="42">
        <v>4.75</v>
      </c>
      <c r="Y6" s="43"/>
      <c r="Z6" s="44">
        <f>Z5+0.2</f>
        <v>21</v>
      </c>
      <c r="AA6" s="41">
        <f t="shared" ref="AA6:AA28" si="10">ROUND(($AA$3/Z6)*3.6,1)</f>
        <v>20.6</v>
      </c>
      <c r="AB6" s="44">
        <f>AB5+0.2</f>
        <v>18.2</v>
      </c>
      <c r="AC6" s="41">
        <f t="shared" ref="AC6:AC28" si="11">ROUND(($AC$3/AB6)*3.6,1)</f>
        <v>23.7</v>
      </c>
      <c r="AD6" s="44">
        <f t="shared" ref="AD6:AD28" si="12">(AB6+Z6)/2</f>
        <v>19.600000000000001</v>
      </c>
      <c r="AE6" s="41">
        <f t="shared" ref="AE6:AE28" si="13">ROUND(($AE$3/AD6)*3.6,1)</f>
        <v>22</v>
      </c>
      <c r="AF6" s="42">
        <v>5.75</v>
      </c>
      <c r="AH6" s="493">
        <v>9.2499999999999999E-2</v>
      </c>
      <c r="AI6" s="32">
        <v>0.75</v>
      </c>
      <c r="AJ6" s="20"/>
      <c r="AK6" s="50">
        <v>1</v>
      </c>
      <c r="AL6" s="617" t="s">
        <v>27</v>
      </c>
      <c r="AM6" s="34"/>
      <c r="AN6" s="34"/>
      <c r="AO6" s="34"/>
      <c r="AP6" s="20"/>
      <c r="AQ6" s="48" t="s">
        <v>28</v>
      </c>
      <c r="AR6" s="49" t="s">
        <v>29</v>
      </c>
      <c r="AS6" s="20"/>
    </row>
    <row r="7" spans="1:45" ht="20.100000000000001" customHeight="1">
      <c r="B7" s="40">
        <f>B6+0.2</f>
        <v>2.8000000000000003</v>
      </c>
      <c r="C7" s="41">
        <f t="shared" si="0"/>
        <v>12.9</v>
      </c>
      <c r="D7" s="36">
        <f>D6+0.2</f>
        <v>2.3000000000000003</v>
      </c>
      <c r="E7" s="41">
        <f t="shared" si="1"/>
        <v>15.7</v>
      </c>
      <c r="F7" s="37">
        <v>3</v>
      </c>
      <c r="G7" s="38"/>
      <c r="H7" s="40">
        <f>H6+0.2</f>
        <v>3.6000000000000005</v>
      </c>
      <c r="I7" s="615">
        <f t="shared" si="2"/>
        <v>15</v>
      </c>
      <c r="J7" s="40">
        <f>J6+0.2</f>
        <v>3.2</v>
      </c>
      <c r="K7" s="615">
        <f t="shared" si="3"/>
        <v>16.899999999999999</v>
      </c>
      <c r="L7" s="37">
        <v>3</v>
      </c>
      <c r="M7" s="39"/>
      <c r="N7" s="40">
        <f t="shared" ref="N7:P13" si="14">N6+0.1</f>
        <v>5.6999999999999993</v>
      </c>
      <c r="O7" s="615">
        <f t="shared" si="4"/>
        <v>18.899999999999999</v>
      </c>
      <c r="P7" s="40">
        <f t="shared" si="14"/>
        <v>4.8999999999999995</v>
      </c>
      <c r="Q7" s="615">
        <f t="shared" si="5"/>
        <v>22</v>
      </c>
      <c r="R7" s="42">
        <v>4.5</v>
      </c>
      <c r="S7" s="38"/>
      <c r="T7" s="40">
        <f t="shared" si="6"/>
        <v>7</v>
      </c>
      <c r="U7" s="615">
        <f t="shared" si="7"/>
        <v>20.6</v>
      </c>
      <c r="V7" s="40">
        <f t="shared" si="8"/>
        <v>6.1000000000000005</v>
      </c>
      <c r="W7" s="615">
        <f t="shared" si="9"/>
        <v>23.6</v>
      </c>
      <c r="X7" s="42">
        <v>4.5</v>
      </c>
      <c r="Y7" s="43"/>
      <c r="Z7" s="44">
        <f>Z6+0.2</f>
        <v>21.2</v>
      </c>
      <c r="AA7" s="41">
        <f t="shared" si="10"/>
        <v>20.399999999999999</v>
      </c>
      <c r="AB7" s="44">
        <f>AB6+0.2</f>
        <v>18.399999999999999</v>
      </c>
      <c r="AC7" s="41">
        <f t="shared" si="11"/>
        <v>23.5</v>
      </c>
      <c r="AD7" s="44">
        <f t="shared" si="12"/>
        <v>19.799999999999997</v>
      </c>
      <c r="AE7" s="41">
        <f t="shared" si="13"/>
        <v>21.8</v>
      </c>
      <c r="AF7" s="42">
        <v>5.5</v>
      </c>
      <c r="AH7" s="493">
        <v>0.09</v>
      </c>
      <c r="AI7" s="32">
        <v>1</v>
      </c>
      <c r="AJ7" s="20"/>
      <c r="AK7" s="51"/>
      <c r="AL7" s="51"/>
      <c r="AM7" s="51"/>
      <c r="AN7" s="51"/>
      <c r="AO7" s="52"/>
      <c r="AP7" s="20"/>
      <c r="AQ7" s="53" t="s">
        <v>30</v>
      </c>
      <c r="AR7" s="20"/>
      <c r="AS7" s="20"/>
    </row>
    <row r="8" spans="1:45" ht="20.100000000000001" customHeight="1" thickBot="1">
      <c r="B8" s="40">
        <f>B7+0.2</f>
        <v>3.0000000000000004</v>
      </c>
      <c r="C8" s="41">
        <f t="shared" si="0"/>
        <v>12</v>
      </c>
      <c r="D8" s="36">
        <f>D7+0.2</f>
        <v>2.5000000000000004</v>
      </c>
      <c r="E8" s="41">
        <f t="shared" si="1"/>
        <v>14.4</v>
      </c>
      <c r="F8" s="37">
        <v>2</v>
      </c>
      <c r="G8" s="38"/>
      <c r="H8" s="40">
        <f>H7+0.3</f>
        <v>3.9000000000000004</v>
      </c>
      <c r="I8" s="615">
        <f t="shared" si="2"/>
        <v>13.8</v>
      </c>
      <c r="J8" s="40">
        <f>J7+0.3</f>
        <v>3.5</v>
      </c>
      <c r="K8" s="615">
        <f t="shared" si="3"/>
        <v>15.4</v>
      </c>
      <c r="L8" s="37">
        <v>2</v>
      </c>
      <c r="M8" s="39"/>
      <c r="N8" s="40">
        <f>N7+0.2</f>
        <v>5.8999999999999995</v>
      </c>
      <c r="O8" s="615">
        <f t="shared" si="4"/>
        <v>18.3</v>
      </c>
      <c r="P8" s="40">
        <f t="shared" si="14"/>
        <v>4.9999999999999991</v>
      </c>
      <c r="Q8" s="615">
        <f t="shared" si="5"/>
        <v>21.6</v>
      </c>
      <c r="R8" s="42">
        <v>4.25</v>
      </c>
      <c r="S8" s="38"/>
      <c r="T8" s="40">
        <f t="shared" si="6"/>
        <v>7.2</v>
      </c>
      <c r="U8" s="615">
        <f t="shared" si="7"/>
        <v>20</v>
      </c>
      <c r="V8" s="40">
        <f t="shared" si="8"/>
        <v>6.3000000000000007</v>
      </c>
      <c r="W8" s="615">
        <f t="shared" si="9"/>
        <v>22.9</v>
      </c>
      <c r="X8" s="42">
        <v>4.25</v>
      </c>
      <c r="Y8" s="43"/>
      <c r="Z8" s="44">
        <f>Z7+0.2</f>
        <v>21.4</v>
      </c>
      <c r="AA8" s="41">
        <f t="shared" si="10"/>
        <v>20.2</v>
      </c>
      <c r="AB8" s="44">
        <f>AB7+0.2</f>
        <v>18.599999999999998</v>
      </c>
      <c r="AC8" s="41">
        <f t="shared" si="11"/>
        <v>23.2</v>
      </c>
      <c r="AD8" s="44">
        <f t="shared" si="12"/>
        <v>20</v>
      </c>
      <c r="AE8" s="41">
        <f t="shared" si="13"/>
        <v>21.6</v>
      </c>
      <c r="AF8" s="42">
        <v>5.25</v>
      </c>
      <c r="AH8" s="493">
        <v>8.7499999999999994E-2</v>
      </c>
      <c r="AI8" s="32">
        <v>1.25</v>
      </c>
      <c r="AJ8" s="20"/>
      <c r="AK8" s="51"/>
      <c r="AL8" s="51"/>
      <c r="AM8" s="51"/>
      <c r="AN8" s="51"/>
      <c r="AO8" s="52"/>
      <c r="AP8" s="20"/>
      <c r="AQ8" s="639" t="s">
        <v>31</v>
      </c>
      <c r="AR8" s="639"/>
      <c r="AS8" s="20"/>
    </row>
    <row r="9" spans="1:45" ht="20.100000000000001" customHeight="1">
      <c r="B9" s="40">
        <f>B8+0.3</f>
        <v>3.3000000000000003</v>
      </c>
      <c r="C9" s="41">
        <f t="shared" si="0"/>
        <v>10.9</v>
      </c>
      <c r="D9" s="36">
        <f>D8+0.3</f>
        <v>2.8000000000000003</v>
      </c>
      <c r="E9" s="41">
        <f t="shared" si="1"/>
        <v>12.9</v>
      </c>
      <c r="F9" s="37">
        <v>1</v>
      </c>
      <c r="G9" s="38"/>
      <c r="H9" s="40">
        <f>H8+0.4</f>
        <v>4.3000000000000007</v>
      </c>
      <c r="I9" s="615">
        <f t="shared" si="2"/>
        <v>12.6</v>
      </c>
      <c r="J9" s="40">
        <f>J8+0.4</f>
        <v>3.9</v>
      </c>
      <c r="K9" s="615">
        <f t="shared" si="3"/>
        <v>13.8</v>
      </c>
      <c r="L9" s="37">
        <v>1</v>
      </c>
      <c r="M9" s="39"/>
      <c r="N9" s="40">
        <f t="shared" si="14"/>
        <v>5.9999999999999991</v>
      </c>
      <c r="O9" s="615">
        <f t="shared" si="4"/>
        <v>18</v>
      </c>
      <c r="P9" s="40">
        <f t="shared" si="14"/>
        <v>5.0999999999999988</v>
      </c>
      <c r="Q9" s="615">
        <f t="shared" si="5"/>
        <v>21.2</v>
      </c>
      <c r="R9" s="42">
        <v>4</v>
      </c>
      <c r="S9" s="38"/>
      <c r="T9" s="40">
        <f t="shared" si="6"/>
        <v>7.4</v>
      </c>
      <c r="U9" s="615">
        <f t="shared" si="7"/>
        <v>19.5</v>
      </c>
      <c r="V9" s="40">
        <f t="shared" si="8"/>
        <v>6.5000000000000009</v>
      </c>
      <c r="W9" s="615">
        <f t="shared" si="9"/>
        <v>22.2</v>
      </c>
      <c r="X9" s="42">
        <v>4</v>
      </c>
      <c r="Y9" s="43"/>
      <c r="Z9" s="44">
        <f>Z8+0.2</f>
        <v>21.599999999999998</v>
      </c>
      <c r="AA9" s="41">
        <f t="shared" si="10"/>
        <v>20</v>
      </c>
      <c r="AB9" s="44">
        <f>AB8+0.2</f>
        <v>18.799999999999997</v>
      </c>
      <c r="AC9" s="41">
        <f t="shared" si="11"/>
        <v>23</v>
      </c>
      <c r="AD9" s="44">
        <f t="shared" si="12"/>
        <v>20.199999999999996</v>
      </c>
      <c r="AE9" s="41">
        <f t="shared" si="13"/>
        <v>21.4</v>
      </c>
      <c r="AF9" s="42">
        <v>5</v>
      </c>
      <c r="AH9" s="493">
        <v>8.5000000000000006E-2</v>
      </c>
      <c r="AI9" s="32">
        <v>1.5</v>
      </c>
      <c r="AJ9" s="20"/>
      <c r="AK9" s="641" t="s">
        <v>224</v>
      </c>
      <c r="AL9" s="642"/>
      <c r="AM9" s="54"/>
      <c r="AN9" s="54"/>
      <c r="AO9" s="55"/>
      <c r="AP9" s="20"/>
      <c r="AQ9" s="640"/>
      <c r="AR9" s="640"/>
      <c r="AS9" s="20"/>
    </row>
    <row r="10" spans="1:45" ht="20.100000000000001" customHeight="1">
      <c r="B10" s="40">
        <f>B9+0.7</f>
        <v>4</v>
      </c>
      <c r="C10" s="41">
        <f t="shared" si="0"/>
        <v>9</v>
      </c>
      <c r="D10" s="36">
        <f>D9+0.7</f>
        <v>3.5</v>
      </c>
      <c r="E10" s="41">
        <f t="shared" si="1"/>
        <v>10.3</v>
      </c>
      <c r="F10" s="37">
        <v>0.5</v>
      </c>
      <c r="G10" s="38"/>
      <c r="H10" s="40">
        <f>H9+0.5</f>
        <v>4.8000000000000007</v>
      </c>
      <c r="I10" s="615">
        <f t="shared" si="2"/>
        <v>11.3</v>
      </c>
      <c r="J10" s="40">
        <f>J9+0.5</f>
        <v>4.4000000000000004</v>
      </c>
      <c r="K10" s="615">
        <f t="shared" si="3"/>
        <v>12.3</v>
      </c>
      <c r="L10" s="37">
        <v>0.5</v>
      </c>
      <c r="M10" s="39"/>
      <c r="N10" s="40">
        <f t="shared" si="14"/>
        <v>6.0999999999999988</v>
      </c>
      <c r="O10" s="615">
        <f t="shared" si="4"/>
        <v>17.7</v>
      </c>
      <c r="P10" s="40">
        <f t="shared" si="14"/>
        <v>5.1999999999999984</v>
      </c>
      <c r="Q10" s="615">
        <f t="shared" si="5"/>
        <v>20.8</v>
      </c>
      <c r="R10" s="42">
        <v>3.75</v>
      </c>
      <c r="S10" s="38"/>
      <c r="T10" s="40">
        <f t="shared" si="6"/>
        <v>7.6000000000000005</v>
      </c>
      <c r="U10" s="615">
        <f t="shared" si="7"/>
        <v>18.899999999999999</v>
      </c>
      <c r="V10" s="40">
        <f t="shared" si="8"/>
        <v>6.7000000000000011</v>
      </c>
      <c r="W10" s="615">
        <f t="shared" si="9"/>
        <v>21.5</v>
      </c>
      <c r="X10" s="42">
        <v>3.75</v>
      </c>
      <c r="Y10" s="43"/>
      <c r="Z10" s="44">
        <f>Z9+0.4</f>
        <v>21.999999999999996</v>
      </c>
      <c r="AA10" s="41">
        <f t="shared" si="10"/>
        <v>19.600000000000001</v>
      </c>
      <c r="AB10" s="44">
        <f>AB9+0.4</f>
        <v>19.199999999999996</v>
      </c>
      <c r="AC10" s="41">
        <f t="shared" si="11"/>
        <v>22.5</v>
      </c>
      <c r="AD10" s="44">
        <f t="shared" si="12"/>
        <v>20.599999999999994</v>
      </c>
      <c r="AE10" s="41">
        <f t="shared" si="13"/>
        <v>21</v>
      </c>
      <c r="AF10" s="42">
        <v>4.75</v>
      </c>
      <c r="AH10" s="493">
        <v>8.2500000000000004E-2</v>
      </c>
      <c r="AI10" s="32">
        <v>1.75</v>
      </c>
      <c r="AJ10" s="20"/>
      <c r="AK10" s="46" t="s">
        <v>32</v>
      </c>
      <c r="AL10" s="498" t="s">
        <v>33</v>
      </c>
      <c r="AM10" s="56"/>
      <c r="AN10" s="56"/>
      <c r="AO10" s="57"/>
      <c r="AP10" s="20"/>
      <c r="AQ10" s="48" t="s">
        <v>34</v>
      </c>
      <c r="AR10" s="49" t="s">
        <v>35</v>
      </c>
      <c r="AS10" s="20"/>
    </row>
    <row r="11" spans="1:45" ht="20.100000000000001" customHeight="1">
      <c r="B11" s="58"/>
      <c r="C11" s="58"/>
      <c r="D11" s="58"/>
      <c r="E11" s="58"/>
      <c r="F11" s="37">
        <v>0</v>
      </c>
      <c r="G11" s="38"/>
      <c r="H11" s="58"/>
      <c r="I11" s="58"/>
      <c r="J11" s="58"/>
      <c r="K11" s="58"/>
      <c r="L11" s="37">
        <v>0</v>
      </c>
      <c r="M11" s="39"/>
      <c r="N11" s="40">
        <f t="shared" si="14"/>
        <v>6.1999999999999984</v>
      </c>
      <c r="O11" s="615">
        <f t="shared" si="4"/>
        <v>17.399999999999999</v>
      </c>
      <c r="P11" s="40">
        <f t="shared" si="14"/>
        <v>5.299999999999998</v>
      </c>
      <c r="Q11" s="615">
        <f t="shared" si="5"/>
        <v>20.399999999999999</v>
      </c>
      <c r="R11" s="42">
        <v>3.5</v>
      </c>
      <c r="S11" s="38"/>
      <c r="T11" s="40">
        <f t="shared" si="6"/>
        <v>7.8000000000000007</v>
      </c>
      <c r="U11" s="615">
        <f t="shared" si="7"/>
        <v>18.5</v>
      </c>
      <c r="V11" s="40">
        <f t="shared" si="8"/>
        <v>6.9000000000000012</v>
      </c>
      <c r="W11" s="615">
        <f t="shared" si="9"/>
        <v>20.9</v>
      </c>
      <c r="X11" s="42">
        <v>3.5</v>
      </c>
      <c r="Y11" s="43"/>
      <c r="Z11" s="44">
        <f t="shared" ref="Z11:AB13" si="15">Z10+0.4</f>
        <v>22.399999999999995</v>
      </c>
      <c r="AA11" s="41">
        <f t="shared" si="10"/>
        <v>19.3</v>
      </c>
      <c r="AB11" s="44">
        <f t="shared" si="15"/>
        <v>19.599999999999994</v>
      </c>
      <c r="AC11" s="41">
        <f t="shared" si="11"/>
        <v>22</v>
      </c>
      <c r="AD11" s="44">
        <f t="shared" si="12"/>
        <v>20.999999999999993</v>
      </c>
      <c r="AE11" s="41">
        <f t="shared" si="13"/>
        <v>20.6</v>
      </c>
      <c r="AF11" s="42">
        <v>4.5</v>
      </c>
      <c r="AH11" s="493">
        <v>0.08</v>
      </c>
      <c r="AI11" s="32">
        <v>2</v>
      </c>
      <c r="AJ11" s="20"/>
      <c r="AK11" s="46">
        <v>4</v>
      </c>
      <c r="AL11" s="499" t="s">
        <v>209</v>
      </c>
      <c r="AM11" s="56"/>
      <c r="AN11" s="56"/>
      <c r="AO11" s="56"/>
      <c r="AP11" s="20"/>
      <c r="AQ11" s="48" t="s">
        <v>25</v>
      </c>
      <c r="AR11" s="49" t="s">
        <v>37</v>
      </c>
      <c r="AS11" s="20"/>
    </row>
    <row r="12" spans="1:45" ht="20.100000000000001" customHeight="1">
      <c r="B12" s="58"/>
      <c r="C12" s="58"/>
      <c r="D12" s="58"/>
      <c r="E12" s="58"/>
      <c r="F12" s="58"/>
      <c r="G12" s="38"/>
      <c r="H12" s="58"/>
      <c r="I12" s="58"/>
      <c r="J12" s="58"/>
      <c r="K12" s="58"/>
      <c r="L12" s="58"/>
      <c r="M12" s="39"/>
      <c r="N12" s="40">
        <f t="shared" si="14"/>
        <v>6.299999999999998</v>
      </c>
      <c r="O12" s="615">
        <f t="shared" si="4"/>
        <v>17.100000000000001</v>
      </c>
      <c r="P12" s="40">
        <f t="shared" si="14"/>
        <v>5.3999999999999977</v>
      </c>
      <c r="Q12" s="615">
        <f t="shared" si="5"/>
        <v>20</v>
      </c>
      <c r="R12" s="42">
        <v>3.25</v>
      </c>
      <c r="S12" s="38"/>
      <c r="T12" s="40">
        <f t="shared" si="6"/>
        <v>8</v>
      </c>
      <c r="U12" s="615">
        <f t="shared" si="7"/>
        <v>18</v>
      </c>
      <c r="V12" s="40">
        <f t="shared" si="8"/>
        <v>7.1000000000000014</v>
      </c>
      <c r="W12" s="615">
        <f t="shared" si="9"/>
        <v>20.3</v>
      </c>
      <c r="X12" s="42">
        <v>3.25</v>
      </c>
      <c r="Y12" s="43"/>
      <c r="Z12" s="44">
        <f t="shared" si="15"/>
        <v>22.799999999999994</v>
      </c>
      <c r="AA12" s="41">
        <f t="shared" si="10"/>
        <v>18.899999999999999</v>
      </c>
      <c r="AB12" s="44">
        <f t="shared" si="15"/>
        <v>19.999999999999993</v>
      </c>
      <c r="AC12" s="41">
        <f t="shared" si="11"/>
        <v>21.6</v>
      </c>
      <c r="AD12" s="44">
        <f t="shared" si="12"/>
        <v>21.399999999999991</v>
      </c>
      <c r="AE12" s="41">
        <f t="shared" si="13"/>
        <v>20.2</v>
      </c>
      <c r="AF12" s="42">
        <v>4.25</v>
      </c>
      <c r="AH12" s="493">
        <v>7.7499999999999999E-2</v>
      </c>
      <c r="AI12" s="32">
        <v>2.25</v>
      </c>
      <c r="AJ12" s="20"/>
      <c r="AK12" s="46">
        <v>3</v>
      </c>
      <c r="AL12" s="499" t="s">
        <v>36</v>
      </c>
      <c r="AM12" s="56"/>
      <c r="AN12" s="56"/>
      <c r="AO12" s="56"/>
      <c r="AP12" s="20"/>
      <c r="AQ12" s="48" t="s">
        <v>28</v>
      </c>
      <c r="AR12" s="49" t="s">
        <v>38</v>
      </c>
      <c r="AS12" s="20"/>
    </row>
    <row r="13" spans="1:45" ht="20.100000000000001" customHeight="1">
      <c r="B13" s="38"/>
      <c r="C13" s="38"/>
      <c r="D13" s="38"/>
      <c r="E13" s="38"/>
      <c r="F13" s="58"/>
      <c r="G13" s="38"/>
      <c r="H13" s="58"/>
      <c r="I13" s="58"/>
      <c r="J13" s="58"/>
      <c r="K13" s="58"/>
      <c r="L13" s="58"/>
      <c r="M13" s="39"/>
      <c r="N13" s="40">
        <f t="shared" si="14"/>
        <v>6.3999999999999977</v>
      </c>
      <c r="O13" s="615">
        <f t="shared" si="4"/>
        <v>16.899999999999999</v>
      </c>
      <c r="P13" s="40">
        <f t="shared" si="14"/>
        <v>5.4999999999999973</v>
      </c>
      <c r="Q13" s="615">
        <f t="shared" si="5"/>
        <v>19.600000000000001</v>
      </c>
      <c r="R13" s="42">
        <v>3</v>
      </c>
      <c r="S13" s="38"/>
      <c r="T13" s="40">
        <f t="shared" si="6"/>
        <v>8.1999999999999993</v>
      </c>
      <c r="U13" s="615">
        <f t="shared" si="7"/>
        <v>17.600000000000001</v>
      </c>
      <c r="V13" s="40">
        <f t="shared" si="8"/>
        <v>7.3000000000000016</v>
      </c>
      <c r="W13" s="615">
        <f t="shared" si="9"/>
        <v>19.7</v>
      </c>
      <c r="X13" s="42">
        <v>3</v>
      </c>
      <c r="Y13" s="43"/>
      <c r="Z13" s="44">
        <f t="shared" si="15"/>
        <v>23.199999999999992</v>
      </c>
      <c r="AA13" s="41">
        <f t="shared" si="10"/>
        <v>18.600000000000001</v>
      </c>
      <c r="AB13" s="44">
        <f t="shared" si="15"/>
        <v>20.399999999999991</v>
      </c>
      <c r="AC13" s="41">
        <f t="shared" si="11"/>
        <v>21.2</v>
      </c>
      <c r="AD13" s="44">
        <f t="shared" si="12"/>
        <v>21.79999999999999</v>
      </c>
      <c r="AE13" s="41">
        <f t="shared" si="13"/>
        <v>19.8</v>
      </c>
      <c r="AF13" s="42">
        <v>4</v>
      </c>
      <c r="AH13" s="493">
        <v>7.4999999999999997E-2</v>
      </c>
      <c r="AI13" s="32">
        <v>2.5</v>
      </c>
      <c r="AJ13" s="20"/>
      <c r="AK13" s="46">
        <v>1</v>
      </c>
      <c r="AL13" s="499" t="s">
        <v>39</v>
      </c>
      <c r="AM13" s="56"/>
      <c r="AN13" s="56"/>
      <c r="AO13" s="56"/>
      <c r="AP13" s="20"/>
      <c r="AQ13" s="20"/>
      <c r="AR13" s="20"/>
      <c r="AS13" s="20"/>
    </row>
    <row r="14" spans="1:45" ht="19.5" customHeight="1">
      <c r="B14" s="38"/>
      <c r="C14" s="38"/>
      <c r="D14" s="38"/>
      <c r="E14" s="38"/>
      <c r="F14" s="38"/>
      <c r="G14" s="38"/>
      <c r="H14" s="29"/>
      <c r="J14" s="263" t="s">
        <v>40</v>
      </c>
      <c r="K14" s="495">
        <v>20250417</v>
      </c>
      <c r="L14" s="58"/>
      <c r="M14" s="39"/>
      <c r="N14" s="40">
        <f>N13+0.2</f>
        <v>6.5999999999999979</v>
      </c>
      <c r="O14" s="615">
        <f t="shared" si="4"/>
        <v>16.399999999999999</v>
      </c>
      <c r="P14" s="40">
        <f>P13+0.2</f>
        <v>5.6999999999999975</v>
      </c>
      <c r="Q14" s="615">
        <f t="shared" si="5"/>
        <v>18.899999999999999</v>
      </c>
      <c r="R14" s="42">
        <v>2.75</v>
      </c>
      <c r="S14" s="38"/>
      <c r="T14" s="40">
        <f>T13+0.3</f>
        <v>8.5</v>
      </c>
      <c r="U14" s="615">
        <f t="shared" si="7"/>
        <v>16.899999999999999</v>
      </c>
      <c r="V14" s="40">
        <f>V13+0.3</f>
        <v>7.6000000000000014</v>
      </c>
      <c r="W14" s="615">
        <f t="shared" si="9"/>
        <v>18.899999999999999</v>
      </c>
      <c r="X14" s="42">
        <v>2.75</v>
      </c>
      <c r="Y14" s="43"/>
      <c r="Z14" s="44">
        <f>Z13+0.6</f>
        <v>23.799999999999994</v>
      </c>
      <c r="AA14" s="41">
        <f t="shared" si="10"/>
        <v>18.2</v>
      </c>
      <c r="AB14" s="44">
        <f>AB13+0.6</f>
        <v>20.999999999999993</v>
      </c>
      <c r="AC14" s="41">
        <f t="shared" si="11"/>
        <v>20.6</v>
      </c>
      <c r="AD14" s="44">
        <f t="shared" si="12"/>
        <v>22.399999999999991</v>
      </c>
      <c r="AE14" s="41">
        <f t="shared" si="13"/>
        <v>19.3</v>
      </c>
      <c r="AF14" s="42">
        <v>3.75</v>
      </c>
      <c r="AH14" s="493">
        <v>7.2499999999999995E-2</v>
      </c>
      <c r="AI14" s="32">
        <v>2.75</v>
      </c>
      <c r="AJ14" s="20"/>
      <c r="AK14" s="46">
        <v>0.5</v>
      </c>
      <c r="AL14" s="499" t="s">
        <v>41</v>
      </c>
      <c r="AM14" s="56"/>
      <c r="AN14" s="56"/>
      <c r="AO14" s="56"/>
      <c r="AP14" s="20"/>
      <c r="AQ14" s="627" t="s">
        <v>42</v>
      </c>
      <c r="AR14" s="627"/>
      <c r="AS14" s="20"/>
    </row>
    <row r="15" spans="1:45" ht="21" customHeight="1"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58"/>
      <c r="M15" s="39"/>
      <c r="N15" s="40">
        <f t="shared" ref="N15:P17" si="16">N14+0.2</f>
        <v>6.799999999999998</v>
      </c>
      <c r="O15" s="615">
        <f t="shared" si="4"/>
        <v>15.9</v>
      </c>
      <c r="P15" s="40">
        <f t="shared" si="16"/>
        <v>5.8999999999999977</v>
      </c>
      <c r="Q15" s="615">
        <f t="shared" si="5"/>
        <v>18.3</v>
      </c>
      <c r="R15" s="42">
        <v>2.5</v>
      </c>
      <c r="S15" s="38"/>
      <c r="T15" s="40">
        <f>T14+0.3</f>
        <v>8.8000000000000007</v>
      </c>
      <c r="U15" s="615">
        <f t="shared" si="7"/>
        <v>16.399999999999999</v>
      </c>
      <c r="V15" s="40">
        <f>V14+0.3</f>
        <v>7.9000000000000012</v>
      </c>
      <c r="W15" s="615">
        <f t="shared" si="9"/>
        <v>18.2</v>
      </c>
      <c r="X15" s="42">
        <v>2.5</v>
      </c>
      <c r="Y15" s="43"/>
      <c r="Z15" s="44">
        <f t="shared" ref="Z15:AB17" si="17">Z14+0.6</f>
        <v>24.399999999999995</v>
      </c>
      <c r="AA15" s="41">
        <f t="shared" si="10"/>
        <v>17.7</v>
      </c>
      <c r="AB15" s="44">
        <f t="shared" si="17"/>
        <v>21.599999999999994</v>
      </c>
      <c r="AC15" s="41">
        <f t="shared" si="11"/>
        <v>20</v>
      </c>
      <c r="AD15" s="44">
        <f t="shared" si="12"/>
        <v>22.999999999999993</v>
      </c>
      <c r="AE15" s="41">
        <f t="shared" si="13"/>
        <v>18.8</v>
      </c>
      <c r="AF15" s="42">
        <v>3.5</v>
      </c>
      <c r="AH15" s="493">
        <v>7.0000000000000007E-2</v>
      </c>
      <c r="AI15" s="32">
        <v>3</v>
      </c>
      <c r="AJ15" s="20"/>
      <c r="AK15" s="46">
        <v>0.5</v>
      </c>
      <c r="AL15" s="499" t="s">
        <v>43</v>
      </c>
      <c r="AM15" s="56"/>
      <c r="AN15" s="56"/>
      <c r="AO15" s="56"/>
      <c r="AP15" s="20"/>
      <c r="AQ15" s="20"/>
      <c r="AR15" s="20"/>
      <c r="AS15" s="20"/>
    </row>
    <row r="16" spans="1:45" ht="20.100000000000001" customHeight="1">
      <c r="A16" s="618"/>
      <c r="B16" s="643" t="s">
        <v>250</v>
      </c>
      <c r="C16" s="644"/>
      <c r="D16" s="644"/>
      <c r="E16" s="644"/>
      <c r="F16" s="644"/>
      <c r="G16" s="644"/>
      <c r="H16" s="644"/>
      <c r="I16" s="644"/>
      <c r="J16" s="38"/>
      <c r="K16" s="38"/>
      <c r="L16" s="58"/>
      <c r="M16" s="39"/>
      <c r="N16" s="40">
        <f t="shared" si="16"/>
        <v>6.9999999999999982</v>
      </c>
      <c r="O16" s="615">
        <f t="shared" si="4"/>
        <v>15.4</v>
      </c>
      <c r="P16" s="40">
        <f t="shared" si="16"/>
        <v>6.0999999999999979</v>
      </c>
      <c r="Q16" s="615">
        <f t="shared" si="5"/>
        <v>17.7</v>
      </c>
      <c r="R16" s="42">
        <v>2.25</v>
      </c>
      <c r="S16" s="38"/>
      <c r="T16" s="40">
        <f>T15+0.3</f>
        <v>9.1000000000000014</v>
      </c>
      <c r="U16" s="615">
        <f t="shared" si="7"/>
        <v>15.8</v>
      </c>
      <c r="V16" s="40">
        <f>V15+0.3</f>
        <v>8.2000000000000011</v>
      </c>
      <c r="W16" s="615">
        <f t="shared" si="9"/>
        <v>17.600000000000001</v>
      </c>
      <c r="X16" s="42">
        <v>2.25</v>
      </c>
      <c r="Y16" s="43"/>
      <c r="Z16" s="44">
        <f t="shared" si="17"/>
        <v>24.999999999999996</v>
      </c>
      <c r="AA16" s="41">
        <f t="shared" si="10"/>
        <v>17.3</v>
      </c>
      <c r="AB16" s="44">
        <f t="shared" si="17"/>
        <v>22.199999999999996</v>
      </c>
      <c r="AC16" s="41">
        <f t="shared" si="11"/>
        <v>19.5</v>
      </c>
      <c r="AD16" s="44">
        <f t="shared" si="12"/>
        <v>23.599999999999994</v>
      </c>
      <c r="AE16" s="41">
        <f t="shared" si="13"/>
        <v>18.3</v>
      </c>
      <c r="AF16" s="42">
        <v>3.25</v>
      </c>
      <c r="AH16" s="493">
        <v>6.7500000000000004E-2</v>
      </c>
      <c r="AI16" s="32">
        <v>3.25</v>
      </c>
      <c r="AJ16" s="20"/>
      <c r="AK16" s="46">
        <v>0</v>
      </c>
      <c r="AL16" s="499" t="s">
        <v>195</v>
      </c>
      <c r="AM16" s="60"/>
      <c r="AN16" s="60"/>
      <c r="AO16" s="57"/>
      <c r="AP16" s="20"/>
      <c r="AQ16" s="20"/>
      <c r="AR16" s="20"/>
      <c r="AS16" s="20"/>
    </row>
    <row r="17" spans="2:48" ht="20.100000000000001" customHeight="1" thickBot="1">
      <c r="B17" s="644"/>
      <c r="C17" s="644"/>
      <c r="D17" s="644"/>
      <c r="E17" s="644"/>
      <c r="F17" s="644"/>
      <c r="G17" s="644"/>
      <c r="H17" s="644"/>
      <c r="I17" s="644"/>
      <c r="J17" s="58"/>
      <c r="K17" s="58"/>
      <c r="L17" s="58"/>
      <c r="M17" s="39"/>
      <c r="N17" s="40">
        <f t="shared" si="16"/>
        <v>7.1999999999999984</v>
      </c>
      <c r="O17" s="615">
        <f t="shared" si="4"/>
        <v>15</v>
      </c>
      <c r="P17" s="40">
        <f t="shared" si="16"/>
        <v>6.299999999999998</v>
      </c>
      <c r="Q17" s="615">
        <f t="shared" si="5"/>
        <v>17.100000000000001</v>
      </c>
      <c r="R17" s="42">
        <v>2</v>
      </c>
      <c r="S17" s="38"/>
      <c r="T17" s="40">
        <f>T16+0.3</f>
        <v>9.4000000000000021</v>
      </c>
      <c r="U17" s="615">
        <f t="shared" si="7"/>
        <v>15.3</v>
      </c>
      <c r="V17" s="40">
        <f>V16+0.3</f>
        <v>8.5000000000000018</v>
      </c>
      <c r="W17" s="615">
        <f t="shared" si="9"/>
        <v>16.899999999999999</v>
      </c>
      <c r="X17" s="42">
        <v>2</v>
      </c>
      <c r="Y17" s="43"/>
      <c r="Z17" s="44">
        <f t="shared" si="17"/>
        <v>25.599999999999998</v>
      </c>
      <c r="AA17" s="41">
        <f t="shared" si="10"/>
        <v>16.899999999999999</v>
      </c>
      <c r="AB17" s="44">
        <f t="shared" si="17"/>
        <v>22.799999999999997</v>
      </c>
      <c r="AC17" s="41">
        <f t="shared" si="11"/>
        <v>18.899999999999999</v>
      </c>
      <c r="AD17" s="44">
        <f t="shared" si="12"/>
        <v>24.199999999999996</v>
      </c>
      <c r="AE17" s="41">
        <f t="shared" si="13"/>
        <v>17.899999999999999</v>
      </c>
      <c r="AF17" s="42">
        <v>3</v>
      </c>
      <c r="AH17" s="493">
        <v>6.5000000000000002E-2</v>
      </c>
      <c r="AI17" s="32">
        <v>3.5</v>
      </c>
      <c r="AJ17" s="20"/>
      <c r="AK17" s="623" t="s">
        <v>44</v>
      </c>
      <c r="AL17" s="624"/>
      <c r="AM17" s="62"/>
      <c r="AN17" s="62"/>
      <c r="AO17" s="57"/>
      <c r="AP17" s="20"/>
      <c r="AQ17" s="20"/>
      <c r="AR17" s="20"/>
      <c r="AS17" s="20"/>
    </row>
    <row r="18" spans="2:48" ht="20.100000000000001" customHeight="1"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9"/>
      <c r="N18" s="40">
        <f>N17+0.3</f>
        <v>7.4999999999999982</v>
      </c>
      <c r="O18" s="615">
        <f t="shared" si="4"/>
        <v>14.4</v>
      </c>
      <c r="P18" s="40">
        <f>P17+0.3</f>
        <v>6.5999999999999979</v>
      </c>
      <c r="Q18" s="615">
        <f t="shared" si="5"/>
        <v>16.399999999999999</v>
      </c>
      <c r="R18" s="42">
        <v>1.75</v>
      </c>
      <c r="S18" s="38"/>
      <c r="T18" s="40">
        <f>T17+0.4</f>
        <v>9.8000000000000025</v>
      </c>
      <c r="U18" s="615">
        <f t="shared" si="7"/>
        <v>14.7</v>
      </c>
      <c r="V18" s="40">
        <f>V17+0.4</f>
        <v>8.9000000000000021</v>
      </c>
      <c r="W18" s="615">
        <f t="shared" si="9"/>
        <v>16.2</v>
      </c>
      <c r="X18" s="42">
        <v>1.75</v>
      </c>
      <c r="Y18" s="43"/>
      <c r="Z18" s="44">
        <f>Z17+0.8</f>
        <v>26.4</v>
      </c>
      <c r="AA18" s="41">
        <f t="shared" si="10"/>
        <v>16.399999999999999</v>
      </c>
      <c r="AB18" s="44">
        <f>AB17+0.8</f>
        <v>23.599999999999998</v>
      </c>
      <c r="AC18" s="41">
        <f t="shared" si="11"/>
        <v>18.3</v>
      </c>
      <c r="AD18" s="44">
        <f t="shared" si="12"/>
        <v>25</v>
      </c>
      <c r="AE18" s="41">
        <f t="shared" si="13"/>
        <v>17.3</v>
      </c>
      <c r="AF18" s="42">
        <v>2.75</v>
      </c>
      <c r="AH18" s="493">
        <v>6.25E-2</v>
      </c>
      <c r="AI18" s="32">
        <v>3.75</v>
      </c>
      <c r="AJ18" s="20"/>
      <c r="AK18" s="20"/>
      <c r="AL18" s="20"/>
      <c r="AM18" s="20"/>
      <c r="AN18" s="20"/>
      <c r="AO18" s="55"/>
      <c r="AP18" s="20"/>
      <c r="AQ18" s="20"/>
      <c r="AR18" s="20"/>
      <c r="AS18" s="20"/>
    </row>
    <row r="19" spans="2:48" ht="20.100000000000001" customHeight="1"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9"/>
      <c r="N19" s="40">
        <f t="shared" ref="N19:P19" si="18">N18+0.3</f>
        <v>7.799999999999998</v>
      </c>
      <c r="O19" s="615">
        <f t="shared" si="4"/>
        <v>13.8</v>
      </c>
      <c r="P19" s="40">
        <f t="shared" si="18"/>
        <v>6.8999999999999977</v>
      </c>
      <c r="Q19" s="615">
        <f t="shared" si="5"/>
        <v>15.7</v>
      </c>
      <c r="R19" s="42">
        <v>1.5</v>
      </c>
      <c r="S19" s="38"/>
      <c r="T19" s="40">
        <f>T18+0.4</f>
        <v>10.200000000000003</v>
      </c>
      <c r="U19" s="615">
        <f t="shared" si="7"/>
        <v>14.1</v>
      </c>
      <c r="V19" s="40">
        <f>V18+0.4</f>
        <v>9.3000000000000025</v>
      </c>
      <c r="W19" s="615">
        <f t="shared" si="9"/>
        <v>15.5</v>
      </c>
      <c r="X19" s="42">
        <v>1.5</v>
      </c>
      <c r="Y19" s="43"/>
      <c r="Z19" s="44">
        <f t="shared" ref="Z19:AB21" si="19">Z18+0.8</f>
        <v>27.2</v>
      </c>
      <c r="AA19" s="41">
        <f t="shared" si="10"/>
        <v>15.9</v>
      </c>
      <c r="AB19" s="44">
        <f t="shared" si="19"/>
        <v>24.4</v>
      </c>
      <c r="AC19" s="41">
        <f t="shared" si="11"/>
        <v>17.7</v>
      </c>
      <c r="AD19" s="44">
        <f t="shared" si="12"/>
        <v>25.799999999999997</v>
      </c>
      <c r="AE19" s="41">
        <f t="shared" si="13"/>
        <v>16.7</v>
      </c>
      <c r="AF19" s="42">
        <v>2.5</v>
      </c>
      <c r="AH19" s="493">
        <v>0.06</v>
      </c>
      <c r="AI19" s="32">
        <v>4</v>
      </c>
      <c r="AJ19" s="20"/>
      <c r="AK19" s="625" t="s">
        <v>45</v>
      </c>
      <c r="AL19" s="626"/>
      <c r="AP19" s="20"/>
      <c r="AQ19" s="20"/>
      <c r="AR19" s="20"/>
      <c r="AS19" s="20"/>
      <c r="AT19" s="20"/>
      <c r="AU19" s="20"/>
      <c r="AV19" s="20"/>
    </row>
    <row r="20" spans="2:48" ht="19.5" customHeight="1">
      <c r="B20" s="38"/>
      <c r="C20" s="38"/>
      <c r="D20" s="58"/>
      <c r="E20" s="58"/>
      <c r="F20" s="58"/>
      <c r="G20" s="38"/>
      <c r="H20" s="38"/>
      <c r="I20" s="38"/>
      <c r="J20" s="38"/>
      <c r="K20" s="38"/>
      <c r="L20" s="38"/>
      <c r="M20" s="39"/>
      <c r="N20" s="40">
        <f>N19+0.4</f>
        <v>8.1999999999999975</v>
      </c>
      <c r="O20" s="615">
        <f t="shared" si="4"/>
        <v>13.2</v>
      </c>
      <c r="P20" s="40">
        <f>P19+0.4</f>
        <v>7.299999999999998</v>
      </c>
      <c r="Q20" s="615">
        <f t="shared" si="5"/>
        <v>14.8</v>
      </c>
      <c r="R20" s="42">
        <v>1.25</v>
      </c>
      <c r="S20" s="38"/>
      <c r="T20" s="40">
        <f>T19+0.5</f>
        <v>10.700000000000003</v>
      </c>
      <c r="U20" s="615">
        <f t="shared" si="7"/>
        <v>13.5</v>
      </c>
      <c r="V20" s="40">
        <f>V19+0.5</f>
        <v>9.8000000000000025</v>
      </c>
      <c r="W20" s="615">
        <f t="shared" si="9"/>
        <v>14.7</v>
      </c>
      <c r="X20" s="42">
        <v>1.25</v>
      </c>
      <c r="Y20" s="43"/>
      <c r="Z20" s="44">
        <f t="shared" si="19"/>
        <v>28</v>
      </c>
      <c r="AA20" s="41">
        <f t="shared" si="10"/>
        <v>15.4</v>
      </c>
      <c r="AB20" s="44">
        <f t="shared" si="19"/>
        <v>25.2</v>
      </c>
      <c r="AC20" s="41">
        <f t="shared" si="11"/>
        <v>17.100000000000001</v>
      </c>
      <c r="AD20" s="44">
        <f t="shared" si="12"/>
        <v>26.6</v>
      </c>
      <c r="AE20" s="41">
        <f t="shared" si="13"/>
        <v>16.2</v>
      </c>
      <c r="AF20" s="42">
        <v>2.25</v>
      </c>
      <c r="AH20" s="493">
        <v>5.5E-2</v>
      </c>
      <c r="AI20" s="32">
        <v>4.25</v>
      </c>
      <c r="AJ20" s="20"/>
      <c r="AK20" s="63">
        <v>0</v>
      </c>
      <c r="AL20" s="497" t="s">
        <v>46</v>
      </c>
      <c r="AP20" s="20"/>
      <c r="AT20" s="20"/>
      <c r="AU20" s="20"/>
    </row>
    <row r="21" spans="2:48" ht="19.5" customHeight="1">
      <c r="B21" s="38"/>
      <c r="C21" s="38"/>
      <c r="D21" s="58"/>
      <c r="E21" s="58"/>
      <c r="F21" s="58"/>
      <c r="G21" s="38"/>
      <c r="H21" s="38"/>
      <c r="I21" s="38"/>
      <c r="J21" s="38"/>
      <c r="K21" s="38"/>
      <c r="L21" s="38"/>
      <c r="M21" s="39"/>
      <c r="N21" s="40">
        <f>N20+0.4</f>
        <v>8.5999999999999979</v>
      </c>
      <c r="O21" s="615">
        <f t="shared" si="4"/>
        <v>12.6</v>
      </c>
      <c r="P21" s="40">
        <f>P20+0.4</f>
        <v>7.6999999999999984</v>
      </c>
      <c r="Q21" s="615">
        <f t="shared" si="5"/>
        <v>14</v>
      </c>
      <c r="R21" s="42">
        <v>1</v>
      </c>
      <c r="S21" s="38"/>
      <c r="T21" s="40">
        <f>T20+0.5</f>
        <v>11.200000000000003</v>
      </c>
      <c r="U21" s="615">
        <f t="shared" si="7"/>
        <v>12.9</v>
      </c>
      <c r="V21" s="40">
        <f>V20+0.5</f>
        <v>10.300000000000002</v>
      </c>
      <c r="W21" s="615">
        <f t="shared" si="9"/>
        <v>14</v>
      </c>
      <c r="X21" s="42">
        <v>1</v>
      </c>
      <c r="Y21" s="43"/>
      <c r="Z21" s="44">
        <f t="shared" si="19"/>
        <v>28.8</v>
      </c>
      <c r="AA21" s="41">
        <f t="shared" si="10"/>
        <v>15</v>
      </c>
      <c r="AB21" s="44">
        <f t="shared" si="19"/>
        <v>26</v>
      </c>
      <c r="AC21" s="41">
        <f t="shared" si="11"/>
        <v>16.600000000000001</v>
      </c>
      <c r="AD21" s="44">
        <f t="shared" si="12"/>
        <v>27.4</v>
      </c>
      <c r="AE21" s="41">
        <f t="shared" si="13"/>
        <v>15.8</v>
      </c>
      <c r="AF21" s="42">
        <v>2</v>
      </c>
      <c r="AH21" s="493">
        <v>0.05</v>
      </c>
      <c r="AI21" s="32">
        <v>4.5</v>
      </c>
      <c r="AJ21" s="20"/>
      <c r="AK21" s="64">
        <v>1</v>
      </c>
      <c r="AL21" s="497" t="s">
        <v>47</v>
      </c>
      <c r="AP21" s="20"/>
      <c r="AT21" s="20"/>
      <c r="AU21" s="20"/>
    </row>
    <row r="22" spans="2:48" ht="19.5" customHeight="1">
      <c r="B22" s="38"/>
      <c r="C22" s="38"/>
      <c r="D22" s="58"/>
      <c r="E22" s="58"/>
      <c r="F22" s="58"/>
      <c r="G22" s="38"/>
      <c r="H22" s="38"/>
      <c r="I22" s="38"/>
      <c r="J22" s="38"/>
      <c r="K22" s="38"/>
      <c r="L22" s="38"/>
      <c r="M22" s="39"/>
      <c r="N22" s="40">
        <f>N21+0.5</f>
        <v>9.0999999999999979</v>
      </c>
      <c r="O22" s="615">
        <f t="shared" si="4"/>
        <v>11.9</v>
      </c>
      <c r="P22" s="40">
        <f>P21+0.5</f>
        <v>8.1999999999999993</v>
      </c>
      <c r="Q22" s="615">
        <f t="shared" si="5"/>
        <v>13.2</v>
      </c>
      <c r="R22" s="42">
        <v>0.75</v>
      </c>
      <c r="S22" s="38"/>
      <c r="T22" s="40">
        <f>T21+0.6</f>
        <v>11.800000000000002</v>
      </c>
      <c r="U22" s="615">
        <f t="shared" si="7"/>
        <v>12.2</v>
      </c>
      <c r="V22" s="40">
        <f>V21+0.6</f>
        <v>10.900000000000002</v>
      </c>
      <c r="W22" s="615">
        <f t="shared" si="9"/>
        <v>13.2</v>
      </c>
      <c r="X22" s="42">
        <v>0.75</v>
      </c>
      <c r="Y22" s="43"/>
      <c r="Z22" s="44">
        <f>Z21+1</f>
        <v>29.8</v>
      </c>
      <c r="AA22" s="41">
        <f t="shared" si="10"/>
        <v>14.5</v>
      </c>
      <c r="AB22" s="44">
        <f>AB21+1</f>
        <v>27</v>
      </c>
      <c r="AC22" s="41">
        <f t="shared" si="11"/>
        <v>16</v>
      </c>
      <c r="AD22" s="44">
        <f t="shared" si="12"/>
        <v>28.4</v>
      </c>
      <c r="AE22" s="41">
        <f t="shared" si="13"/>
        <v>15.2</v>
      </c>
      <c r="AF22" s="42">
        <v>1.75</v>
      </c>
      <c r="AH22" s="493">
        <v>4.4999999999999998E-2</v>
      </c>
      <c r="AI22" s="32">
        <v>4.75</v>
      </c>
      <c r="AJ22" s="20"/>
      <c r="AK22" s="64">
        <v>2</v>
      </c>
      <c r="AL22" s="497" t="s">
        <v>48</v>
      </c>
      <c r="AP22" s="20"/>
      <c r="AT22" s="20"/>
      <c r="AU22" s="20"/>
    </row>
    <row r="23" spans="2:48" ht="19.5" customHeight="1">
      <c r="B23" s="38"/>
      <c r="C23" s="38"/>
      <c r="D23" s="58"/>
      <c r="E23" s="58"/>
      <c r="F23" s="58"/>
      <c r="G23" s="38"/>
      <c r="H23" s="38"/>
      <c r="I23" s="38"/>
      <c r="J23" s="38"/>
      <c r="K23" s="38"/>
      <c r="L23" s="38"/>
      <c r="M23" s="39"/>
      <c r="N23" s="40">
        <f>N22+0.6</f>
        <v>9.6999999999999975</v>
      </c>
      <c r="O23" s="615">
        <f t="shared" si="4"/>
        <v>11.1</v>
      </c>
      <c r="P23" s="40">
        <f>P22+0.6</f>
        <v>8.7999999999999989</v>
      </c>
      <c r="Q23" s="615">
        <f t="shared" si="5"/>
        <v>12.3</v>
      </c>
      <c r="R23" s="42">
        <v>0.5</v>
      </c>
      <c r="S23" s="38"/>
      <c r="T23" s="40">
        <f>T22+0.7</f>
        <v>12.500000000000002</v>
      </c>
      <c r="U23" s="615">
        <f t="shared" si="7"/>
        <v>11.5</v>
      </c>
      <c r="V23" s="40">
        <f>V22+0.7</f>
        <v>11.600000000000001</v>
      </c>
      <c r="W23" s="615">
        <f t="shared" si="9"/>
        <v>12.4</v>
      </c>
      <c r="X23" s="42">
        <v>0.5</v>
      </c>
      <c r="Y23" s="43"/>
      <c r="Z23" s="44">
        <f t="shared" ref="Z23:Z25" si="20">Z22+1</f>
        <v>30.8</v>
      </c>
      <c r="AA23" s="41">
        <f t="shared" si="10"/>
        <v>14</v>
      </c>
      <c r="AB23" s="44">
        <f t="shared" ref="AB23:AB25" si="21">AB22+1</f>
        <v>28</v>
      </c>
      <c r="AC23" s="41">
        <f t="shared" si="11"/>
        <v>15.4</v>
      </c>
      <c r="AD23" s="44">
        <f t="shared" si="12"/>
        <v>29.4</v>
      </c>
      <c r="AE23" s="41">
        <f t="shared" si="13"/>
        <v>14.7</v>
      </c>
      <c r="AF23" s="42">
        <v>1.5</v>
      </c>
      <c r="AH23" s="493">
        <v>0.04</v>
      </c>
      <c r="AI23" s="32">
        <v>5</v>
      </c>
      <c r="AJ23" s="20"/>
      <c r="AK23" s="64">
        <v>3</v>
      </c>
      <c r="AL23" s="497" t="s">
        <v>49</v>
      </c>
      <c r="AP23" s="20"/>
      <c r="AT23" s="20"/>
      <c r="AU23" s="20"/>
    </row>
    <row r="24" spans="2:48" ht="19.5" customHeight="1"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9"/>
      <c r="N24" s="40">
        <v>16</v>
      </c>
      <c r="O24" s="41">
        <f t="shared" si="4"/>
        <v>6.8</v>
      </c>
      <c r="P24" s="36">
        <v>16</v>
      </c>
      <c r="Q24" s="41">
        <f t="shared" si="5"/>
        <v>6.8</v>
      </c>
      <c r="R24" s="42">
        <v>0.25</v>
      </c>
      <c r="S24" s="38"/>
      <c r="T24" s="40">
        <v>16</v>
      </c>
      <c r="U24" s="615">
        <f t="shared" si="7"/>
        <v>9</v>
      </c>
      <c r="V24" s="40">
        <v>16</v>
      </c>
      <c r="W24" s="615">
        <f t="shared" si="9"/>
        <v>9</v>
      </c>
      <c r="X24" s="42">
        <v>0.25</v>
      </c>
      <c r="Y24" s="43"/>
      <c r="Z24" s="44">
        <f t="shared" si="20"/>
        <v>31.8</v>
      </c>
      <c r="AA24" s="41">
        <f t="shared" si="10"/>
        <v>13.6</v>
      </c>
      <c r="AB24" s="44">
        <f t="shared" si="21"/>
        <v>29</v>
      </c>
      <c r="AC24" s="41">
        <f t="shared" si="11"/>
        <v>14.9</v>
      </c>
      <c r="AD24" s="44">
        <f t="shared" si="12"/>
        <v>30.4</v>
      </c>
      <c r="AE24" s="41">
        <f t="shared" si="13"/>
        <v>14.2</v>
      </c>
      <c r="AF24" s="42">
        <v>1.25</v>
      </c>
      <c r="AH24" s="493">
        <v>3.5000000000000003E-2</v>
      </c>
      <c r="AI24" s="32">
        <v>5.25</v>
      </c>
      <c r="AJ24" s="20"/>
      <c r="AK24" s="64">
        <v>4</v>
      </c>
      <c r="AL24" s="497" t="s">
        <v>207</v>
      </c>
      <c r="AP24" s="20"/>
      <c r="AT24" s="20"/>
      <c r="AU24" s="20"/>
    </row>
    <row r="25" spans="2:48" ht="19.5" customHeight="1"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9"/>
      <c r="N25" s="58"/>
      <c r="O25" s="58"/>
      <c r="P25" s="58"/>
      <c r="Q25" s="58"/>
      <c r="R25" s="42">
        <v>0</v>
      </c>
      <c r="S25" s="38"/>
      <c r="T25" s="58"/>
      <c r="U25" s="58"/>
      <c r="V25" s="58"/>
      <c r="W25" s="58"/>
      <c r="X25" s="42">
        <v>0</v>
      </c>
      <c r="Y25" s="43"/>
      <c r="Z25" s="44">
        <f t="shared" si="20"/>
        <v>32.799999999999997</v>
      </c>
      <c r="AA25" s="41">
        <f t="shared" si="10"/>
        <v>13.2</v>
      </c>
      <c r="AB25" s="44">
        <f t="shared" si="21"/>
        <v>30</v>
      </c>
      <c r="AC25" s="41">
        <f t="shared" si="11"/>
        <v>14.4</v>
      </c>
      <c r="AD25" s="44">
        <f t="shared" si="12"/>
        <v>31.4</v>
      </c>
      <c r="AE25" s="41">
        <f t="shared" si="13"/>
        <v>13.8</v>
      </c>
      <c r="AF25" s="42">
        <v>1</v>
      </c>
      <c r="AH25" s="493">
        <v>0.03</v>
      </c>
      <c r="AI25" s="32">
        <v>5.5</v>
      </c>
      <c r="AJ25" s="20"/>
      <c r="AP25" s="20"/>
      <c r="AT25" s="20"/>
      <c r="AU25" s="20"/>
    </row>
    <row r="26" spans="2:48" ht="19.5" customHeight="1">
      <c r="B26" s="65"/>
      <c r="C26" s="65"/>
      <c r="D26" s="66"/>
      <c r="E26" s="66"/>
      <c r="F26" s="20"/>
      <c r="G26" s="20"/>
      <c r="H26" s="20"/>
      <c r="I26" s="20"/>
      <c r="J26" s="20"/>
      <c r="K26" s="20"/>
      <c r="L26" s="20"/>
      <c r="M26" s="66"/>
      <c r="N26" s="66"/>
      <c r="O26" s="66"/>
      <c r="P26" s="66"/>
      <c r="Q26" s="66"/>
      <c r="R26" s="66"/>
      <c r="S26" s="20"/>
      <c r="T26" s="66"/>
      <c r="U26" s="66"/>
      <c r="V26" s="66"/>
      <c r="W26" s="66"/>
      <c r="X26" s="66"/>
      <c r="Y26" s="66"/>
      <c r="Z26" s="44">
        <f>Z25+1.2</f>
        <v>34</v>
      </c>
      <c r="AA26" s="41">
        <f t="shared" si="10"/>
        <v>12.7</v>
      </c>
      <c r="AB26" s="44">
        <f>AB25+1.2</f>
        <v>31.2</v>
      </c>
      <c r="AC26" s="41">
        <f t="shared" si="11"/>
        <v>13.8</v>
      </c>
      <c r="AD26" s="44">
        <f t="shared" si="12"/>
        <v>32.6</v>
      </c>
      <c r="AE26" s="41">
        <f t="shared" si="13"/>
        <v>13.3</v>
      </c>
      <c r="AF26" s="42">
        <v>0.75</v>
      </c>
      <c r="AH26" s="493">
        <v>2.5000000000000001E-2</v>
      </c>
      <c r="AI26" s="32">
        <v>5.75</v>
      </c>
      <c r="AJ26" s="20"/>
      <c r="AP26" s="20"/>
      <c r="AQ26" s="20"/>
      <c r="AR26" s="20"/>
      <c r="AS26" s="20"/>
      <c r="AT26" s="20"/>
      <c r="AU26" s="20"/>
      <c r="AV26" s="20"/>
    </row>
    <row r="27" spans="2:48" ht="19.5" customHeight="1">
      <c r="B27" s="67"/>
      <c r="C27" s="67"/>
      <c r="D27" s="66"/>
      <c r="E27" s="66"/>
      <c r="F27" s="20"/>
      <c r="G27" s="20"/>
      <c r="H27" s="20"/>
      <c r="I27" s="20"/>
      <c r="J27" s="20"/>
      <c r="K27" s="20"/>
      <c r="L27" s="20"/>
      <c r="M27" s="66"/>
      <c r="N27" s="66"/>
      <c r="O27" s="66"/>
      <c r="P27" s="66"/>
      <c r="Q27" s="66"/>
      <c r="R27" s="66"/>
      <c r="S27" s="20"/>
      <c r="T27" s="66"/>
      <c r="U27" s="66"/>
      <c r="V27" s="66"/>
      <c r="W27" s="66"/>
      <c r="X27" s="66"/>
      <c r="Y27" s="66"/>
      <c r="Z27" s="44">
        <f>Z26+1.2</f>
        <v>35.200000000000003</v>
      </c>
      <c r="AA27" s="41">
        <f t="shared" si="10"/>
        <v>12.3</v>
      </c>
      <c r="AB27" s="44">
        <f>AB26+1.2</f>
        <v>32.4</v>
      </c>
      <c r="AC27" s="41">
        <f t="shared" si="11"/>
        <v>13.3</v>
      </c>
      <c r="AD27" s="44">
        <f t="shared" si="12"/>
        <v>33.799999999999997</v>
      </c>
      <c r="AE27" s="41">
        <f t="shared" si="13"/>
        <v>12.8</v>
      </c>
      <c r="AF27" s="42">
        <v>0.5</v>
      </c>
      <c r="AH27" s="493">
        <v>0.02</v>
      </c>
      <c r="AI27" s="32">
        <v>6</v>
      </c>
      <c r="AJ27" s="20"/>
      <c r="AP27" s="20"/>
      <c r="AQ27" s="20"/>
      <c r="AR27" s="20"/>
      <c r="AS27" s="20"/>
      <c r="AT27" s="20"/>
      <c r="AU27" s="20"/>
      <c r="AV27" s="20"/>
    </row>
    <row r="28" spans="2:48" ht="19.5" customHeight="1">
      <c r="B28" s="29"/>
      <c r="C28" s="29"/>
      <c r="D28" s="68"/>
      <c r="E28" s="68"/>
      <c r="F28" s="20"/>
      <c r="G28" s="20"/>
      <c r="H28" s="20"/>
      <c r="I28" s="20"/>
      <c r="J28" s="20"/>
      <c r="K28" s="20"/>
      <c r="L28" s="20"/>
      <c r="M28" s="29"/>
      <c r="N28" s="20"/>
      <c r="O28" s="20"/>
      <c r="P28" s="59"/>
      <c r="Q28" s="59"/>
      <c r="R28" s="29"/>
      <c r="S28" s="20"/>
      <c r="T28" s="20"/>
      <c r="U28" s="20"/>
      <c r="V28" s="59"/>
      <c r="W28" s="59"/>
      <c r="X28" s="29"/>
      <c r="Y28" s="66"/>
      <c r="Z28" s="44">
        <v>40</v>
      </c>
      <c r="AA28" s="41">
        <f t="shared" si="10"/>
        <v>10.8</v>
      </c>
      <c r="AB28" s="44">
        <v>40</v>
      </c>
      <c r="AC28" s="41">
        <f t="shared" si="11"/>
        <v>10.8</v>
      </c>
      <c r="AD28" s="44">
        <f t="shared" si="12"/>
        <v>40</v>
      </c>
      <c r="AE28" s="41">
        <f t="shared" si="13"/>
        <v>10.8</v>
      </c>
      <c r="AF28" s="42">
        <v>0.25</v>
      </c>
      <c r="AH28" s="45">
        <v>0</v>
      </c>
      <c r="AI28" s="32">
        <v>6</v>
      </c>
      <c r="AJ28" s="20"/>
      <c r="AP28" s="20"/>
      <c r="AQ28" s="20"/>
      <c r="AR28" s="20"/>
      <c r="AS28" s="20"/>
      <c r="AT28" s="20"/>
      <c r="AU28" s="20"/>
      <c r="AV28" s="20"/>
    </row>
    <row r="29" spans="2:48" ht="19.5" customHeight="1">
      <c r="B29" s="29"/>
      <c r="C29" s="29"/>
      <c r="D29" s="68"/>
      <c r="E29" s="68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59"/>
      <c r="R29" s="29"/>
      <c r="S29" s="20"/>
      <c r="T29" s="20"/>
      <c r="U29" s="20"/>
      <c r="V29" s="59"/>
      <c r="W29" s="59"/>
      <c r="X29" s="29"/>
      <c r="Y29" s="66"/>
      <c r="Z29" s="58"/>
      <c r="AA29" s="58"/>
      <c r="AB29" s="58"/>
      <c r="AC29" s="58"/>
      <c r="AD29" s="58"/>
      <c r="AE29" s="58"/>
      <c r="AF29" s="42">
        <v>0</v>
      </c>
      <c r="AH29" s="66"/>
      <c r="AI29" s="66"/>
      <c r="AJ29" s="20"/>
      <c r="AP29" s="20"/>
      <c r="AQ29" s="20"/>
      <c r="AR29" s="20"/>
      <c r="AS29" s="20"/>
      <c r="AT29" s="20"/>
      <c r="AU29" s="20"/>
      <c r="AV29" s="20"/>
    </row>
    <row r="30" spans="2:48">
      <c r="H30" s="69"/>
      <c r="K30" s="70"/>
      <c r="L30" s="70"/>
      <c r="M30" s="69"/>
      <c r="Q30" s="70"/>
      <c r="R30" s="70"/>
      <c r="S30" s="69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H30" s="72"/>
      <c r="AJ30" s="24"/>
    </row>
    <row r="31" spans="2:48">
      <c r="H31" s="71"/>
      <c r="I31" s="70"/>
      <c r="J31" s="70"/>
      <c r="K31" s="69"/>
      <c r="L31" s="69"/>
      <c r="M31" s="71"/>
      <c r="O31" s="70"/>
      <c r="P31" s="70"/>
      <c r="Q31" s="69"/>
      <c r="R31" s="69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H31" s="72"/>
      <c r="AJ31" s="24"/>
    </row>
    <row r="32" spans="2:48">
      <c r="H32" s="71"/>
      <c r="I32" s="73"/>
      <c r="J32" s="73"/>
      <c r="K32" s="74"/>
      <c r="L32" s="74"/>
      <c r="M32" s="71"/>
      <c r="O32" s="73"/>
      <c r="P32" s="73"/>
      <c r="Q32" s="74"/>
      <c r="R32" s="74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H32" s="72"/>
      <c r="AJ32" s="24"/>
    </row>
    <row r="33" spans="8:36">
      <c r="H33" s="71"/>
      <c r="I33" s="70"/>
      <c r="J33" s="70"/>
      <c r="K33" s="69"/>
      <c r="L33" s="69"/>
      <c r="M33" s="71"/>
      <c r="O33" s="70"/>
      <c r="P33" s="70"/>
      <c r="Q33" s="69"/>
      <c r="R33" s="69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H33" s="72"/>
      <c r="AJ33" s="24"/>
    </row>
    <row r="34" spans="8:36" ht="15" hidden="1" customHeight="1">
      <c r="H34" s="71"/>
      <c r="I34" s="70"/>
      <c r="J34" s="70"/>
      <c r="K34" s="69"/>
      <c r="L34" s="69"/>
      <c r="M34" s="71"/>
      <c r="O34" s="70"/>
      <c r="P34" s="70"/>
      <c r="Q34" s="69"/>
      <c r="R34" s="69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H34" s="72"/>
      <c r="AJ34" s="24"/>
    </row>
    <row r="35" spans="8:36" hidden="1">
      <c r="H35" s="71"/>
      <c r="I35" s="70"/>
      <c r="J35" s="70"/>
      <c r="K35" s="69"/>
      <c r="L35" s="69"/>
      <c r="M35" s="71"/>
      <c r="O35" s="70"/>
      <c r="P35" s="70"/>
      <c r="Q35" s="69"/>
      <c r="R35" s="69"/>
      <c r="S35" s="71"/>
      <c r="T35" s="71"/>
      <c r="U35" s="71"/>
      <c r="V35" s="71"/>
      <c r="W35" s="71"/>
      <c r="X35" s="71"/>
      <c r="Y35" s="71"/>
      <c r="Z35" s="71"/>
      <c r="AA35" s="71"/>
      <c r="AB35" s="71"/>
      <c r="AH35" s="72"/>
      <c r="AJ35" s="24"/>
    </row>
    <row r="36" spans="8:36" hidden="1">
      <c r="H36" s="71"/>
      <c r="I36" s="70"/>
      <c r="J36" s="70"/>
      <c r="K36" s="69"/>
      <c r="L36" s="69"/>
      <c r="M36" s="71"/>
      <c r="O36" s="70"/>
      <c r="P36" s="70"/>
      <c r="Q36" s="69"/>
      <c r="R36" s="69"/>
      <c r="S36" s="71"/>
      <c r="T36" s="71"/>
      <c r="U36" s="71"/>
      <c r="V36" s="71"/>
      <c r="W36" s="71"/>
      <c r="X36" s="71"/>
      <c r="Y36" s="71"/>
      <c r="Z36" s="71"/>
      <c r="AA36" s="71"/>
      <c r="AB36" s="71"/>
      <c r="AH36" s="72"/>
      <c r="AJ36" s="24"/>
    </row>
    <row r="37" spans="8:36" hidden="1">
      <c r="H37" s="71"/>
      <c r="I37" s="70"/>
      <c r="J37" s="70"/>
      <c r="K37" s="69"/>
      <c r="L37" s="69"/>
      <c r="M37" s="71"/>
      <c r="O37" s="70"/>
      <c r="P37" s="70"/>
      <c r="Q37" s="69"/>
      <c r="R37" s="69"/>
      <c r="S37" s="71"/>
      <c r="T37" s="71"/>
      <c r="U37" s="71"/>
      <c r="V37" s="71"/>
      <c r="W37" s="71"/>
      <c r="X37" s="71"/>
      <c r="Y37" s="71"/>
      <c r="Z37" s="71"/>
      <c r="AA37" s="71"/>
      <c r="AB37" s="71"/>
      <c r="AH37" s="72"/>
      <c r="AJ37" s="24"/>
    </row>
    <row r="38" spans="8:36" hidden="1">
      <c r="U38" s="71"/>
      <c r="V38" s="71"/>
      <c r="W38" s="71"/>
      <c r="X38" s="71"/>
      <c r="Y38" s="71"/>
      <c r="Z38" s="71"/>
      <c r="AA38" s="71"/>
      <c r="AH38" s="72"/>
      <c r="AJ38" s="24"/>
    </row>
    <row r="39" spans="8:36" hidden="1">
      <c r="I39" s="70"/>
      <c r="K39" s="69"/>
      <c r="O39" s="70"/>
      <c r="Q39" s="69"/>
      <c r="U39" s="71"/>
      <c r="V39" s="71"/>
      <c r="W39" s="71"/>
      <c r="X39" s="71"/>
      <c r="Y39" s="71"/>
      <c r="Z39" s="71"/>
      <c r="AA39" s="71"/>
      <c r="AH39" s="72"/>
      <c r="AJ39" s="24"/>
    </row>
    <row r="40" spans="8:36" hidden="1">
      <c r="I40" s="70"/>
      <c r="K40" s="69"/>
      <c r="O40" s="70"/>
      <c r="Q40" s="69"/>
      <c r="U40" s="71"/>
      <c r="V40" s="71"/>
      <c r="W40" s="71"/>
      <c r="X40" s="71"/>
      <c r="Y40" s="71"/>
      <c r="Z40" s="71"/>
      <c r="AA40" s="71"/>
      <c r="AH40" s="72"/>
      <c r="AJ40" s="24"/>
    </row>
    <row r="41" spans="8:36" hidden="1">
      <c r="U41" s="71"/>
      <c r="V41" s="71"/>
      <c r="W41" s="71"/>
      <c r="X41" s="71"/>
      <c r="Y41" s="71"/>
      <c r="Z41" s="71"/>
      <c r="AA41" s="71"/>
      <c r="AH41" s="72"/>
      <c r="AJ41" s="24"/>
    </row>
    <row r="42" spans="8:36" hidden="1">
      <c r="I42" s="70"/>
      <c r="K42" s="69"/>
      <c r="O42" s="70"/>
      <c r="Q42" s="69"/>
      <c r="AH42" s="72"/>
      <c r="AJ42" s="24"/>
    </row>
    <row r="43" spans="8:36" hidden="1">
      <c r="I43" s="70"/>
      <c r="K43" s="69"/>
      <c r="O43" s="70"/>
      <c r="Q43" s="69"/>
      <c r="AH43" s="72"/>
      <c r="AJ43" s="24"/>
    </row>
    <row r="44" spans="8:36" hidden="1">
      <c r="AH44" s="72"/>
      <c r="AJ44" s="24"/>
    </row>
    <row r="45" spans="8:36" hidden="1">
      <c r="AH45" s="72"/>
      <c r="AJ45" s="24"/>
    </row>
  </sheetData>
  <sheetProtection selectLockedCells="1"/>
  <mergeCells count="14">
    <mergeCell ref="AK17:AL17"/>
    <mergeCell ref="AK19:AL19"/>
    <mergeCell ref="AQ14:AR14"/>
    <mergeCell ref="B2:F2"/>
    <mergeCell ref="H2:L2"/>
    <mergeCell ref="N2:R2"/>
    <mergeCell ref="T2:X2"/>
    <mergeCell ref="Z2:AF2"/>
    <mergeCell ref="AH2:AI2"/>
    <mergeCell ref="AK2:AL2"/>
    <mergeCell ref="AQ3:AR4"/>
    <mergeCell ref="AQ8:AR9"/>
    <mergeCell ref="AK9:AL9"/>
    <mergeCell ref="B16:I17"/>
  </mergeCells>
  <hyperlinks>
    <hyperlink ref="AQ7" r:id="rId1" xr:uid="{8BD68F7D-C5B2-4748-8981-A2951F181B2E}"/>
  </hyperlinks>
  <pageMargins left="0.69930555555555596" right="0.69930555555555596" top="0.75" bottom="0.75" header="0.3" footer="0.3"/>
  <pageSetup paperSize="9" orientation="portrait" horizontalDpi="1200" verticalDpi="1200" r:id="rId2"/>
  <ignoredErrors>
    <ignoredError sqref="C6:C10" formula="1"/>
  </ignoredError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2DA46-C700-4292-9C2A-F36520B5E0E0}">
  <dimension ref="A1:AA49"/>
  <sheetViews>
    <sheetView showGridLines="0" showRowColHeaders="0" workbookViewId="0">
      <pane xSplit="2" ySplit="2" topLeftCell="C3" activePane="bottomRight" state="frozen"/>
      <selection activeCell="B22" sqref="B22"/>
      <selection pane="topRight" activeCell="B22" sqref="B22"/>
      <selection pane="bottomLeft" activeCell="B22" sqref="B22"/>
      <selection pane="bottomRight" activeCell="C29" sqref="C29:C31"/>
    </sheetView>
  </sheetViews>
  <sheetFormatPr baseColWidth="10" defaultColWidth="0" defaultRowHeight="0" customHeight="1" zeroHeight="1"/>
  <cols>
    <col min="1" max="1" width="31" style="1" customWidth="1"/>
    <col min="2" max="2" width="3.7109375" style="1" customWidth="1"/>
    <col min="3" max="3" width="6.28515625" style="1" customWidth="1"/>
    <col min="4" max="4" width="5.5703125" style="1" customWidth="1"/>
    <col min="5" max="5" width="12.42578125" style="1" customWidth="1"/>
    <col min="6" max="6" width="6.7109375" style="1" customWidth="1"/>
    <col min="7" max="9" width="5.7109375" style="1" customWidth="1"/>
    <col min="10" max="10" width="7.28515625" style="1" customWidth="1"/>
    <col min="11" max="12" width="5.7109375" style="1" customWidth="1"/>
    <col min="13" max="13" width="7" style="1" customWidth="1"/>
    <col min="14" max="15" width="5.42578125" style="1" customWidth="1"/>
    <col min="16" max="16" width="6.140625" style="1" customWidth="1"/>
    <col min="17" max="17" width="4.5703125" style="1" hidden="1" customWidth="1"/>
    <col min="18" max="18" width="4.42578125" style="1" customWidth="1"/>
    <col min="19" max="19" width="4.85546875" style="1" customWidth="1"/>
    <col min="20" max="20" width="4.28515625" style="1" bestFit="1" customWidth="1"/>
    <col min="21" max="21" width="4" style="1" customWidth="1"/>
    <col min="22" max="22" width="11.42578125" style="1" customWidth="1"/>
    <col min="23" max="27" width="0" style="1" hidden="1" customWidth="1"/>
    <col min="28" max="16384" width="11.42578125" style="1" hidden="1"/>
  </cols>
  <sheetData>
    <row r="1" spans="1:21" ht="15" customHeight="1" thickBot="1">
      <c r="A1" s="650" t="s">
        <v>0</v>
      </c>
      <c r="B1" s="651"/>
      <c r="C1" s="651"/>
      <c r="D1" s="652">
        <v>20</v>
      </c>
      <c r="E1" s="654" t="s">
        <v>211</v>
      </c>
      <c r="F1" s="646" t="s">
        <v>19</v>
      </c>
      <c r="G1" s="646"/>
      <c r="H1" s="646"/>
      <c r="I1" s="646"/>
      <c r="J1" s="647"/>
      <c r="K1" s="645" t="s">
        <v>196</v>
      </c>
      <c r="L1" s="646"/>
      <c r="M1" s="647"/>
      <c r="N1" s="646" t="s">
        <v>197</v>
      </c>
      <c r="O1" s="646"/>
      <c r="P1" s="647"/>
      <c r="Q1" s="645" t="s">
        <v>87</v>
      </c>
      <c r="R1" s="646"/>
      <c r="S1" s="646"/>
      <c r="T1" s="647"/>
      <c r="U1" s="648" t="s">
        <v>115</v>
      </c>
    </row>
    <row r="2" spans="1:21" ht="56.25" customHeight="1" thickBot="1">
      <c r="A2" s="535" t="s">
        <v>2</v>
      </c>
      <c r="B2" s="536" t="s">
        <v>3</v>
      </c>
      <c r="C2" s="537" t="s">
        <v>198</v>
      </c>
      <c r="D2" s="653"/>
      <c r="E2" s="655"/>
      <c r="F2" s="538" t="s">
        <v>212</v>
      </c>
      <c r="G2" s="539" t="s">
        <v>241</v>
      </c>
      <c r="H2" s="539" t="s">
        <v>234</v>
      </c>
      <c r="I2" s="540" t="s">
        <v>233</v>
      </c>
      <c r="J2" s="540" t="s">
        <v>210</v>
      </c>
      <c r="K2" s="541" t="s">
        <v>201</v>
      </c>
      <c r="L2" s="539" t="s">
        <v>199</v>
      </c>
      <c r="M2" s="542" t="s">
        <v>200</v>
      </c>
      <c r="N2" s="541" t="s">
        <v>201</v>
      </c>
      <c r="O2" s="539" t="s">
        <v>199</v>
      </c>
      <c r="P2" s="540" t="s">
        <v>200</v>
      </c>
      <c r="Q2" s="541" t="s">
        <v>202</v>
      </c>
      <c r="R2" s="539" t="s">
        <v>203</v>
      </c>
      <c r="S2" s="539" t="s">
        <v>213</v>
      </c>
      <c r="T2" s="542" t="s">
        <v>204</v>
      </c>
      <c r="U2" s="649"/>
    </row>
    <row r="3" spans="1:21" ht="24" customHeight="1">
      <c r="A3" s="543" t="str">
        <f>IF(Liste!B3&lt;&gt;"",Liste!B3,"")</f>
        <v>A</v>
      </c>
      <c r="B3" s="544" t="str">
        <f>IF(Liste!C3&lt;&gt;"",Liste!C3,"")</f>
        <v>F</v>
      </c>
      <c r="C3" s="545" t="s">
        <v>239</v>
      </c>
      <c r="D3" s="546" t="str">
        <f>IF(A3&lt;&gt;"",IF(COUNT(F3:J3)=5,MROUND(SUM(F3,G3,H3,I3,J3),1),"?"),"")</f>
        <v>?</v>
      </c>
      <c r="E3" s="547"/>
      <c r="F3" s="548" t="str">
        <f>IF(E3&lt;&gt;"",INDEX(Barème!$AK$20:$AK$24,MATCH(E3,Barème!$AL$20:$AL$24,0)),"")</f>
        <v/>
      </c>
      <c r="G3" s="549" t="str">
        <f>IF(AND(A3&lt;&gt;"",C3&lt;&gt;"OUI"),IF(COUNT(S3,T3,R3)=3,S3/5*4,""),"")</f>
        <v/>
      </c>
      <c r="H3" s="549" t="str">
        <f>IF(AND($A3&lt;&gt;"",$C3&lt;&gt;"OUI"),MAX(L3,O3)/2,"")</f>
        <v/>
      </c>
      <c r="I3" s="549" t="str">
        <f>IF(AND($A3&lt;&gt;"",$C3&lt;&gt;"OUI"),MAX(K3,N3)/2,"")</f>
        <v/>
      </c>
      <c r="J3" s="550" t="str">
        <f>IF(AND($A3&lt;&gt;"",$C3&lt;&gt;"OUI"),MAX(M3,P3),"")</f>
        <v/>
      </c>
      <c r="K3" s="555" t="str">
        <f t="array" ref="K3">IF(AND($A3&lt;&gt;"",C3&lt;&gt;"OUI"),MAX(IF('Perf.Relais(1)'!$B$3:$B$80=$A3,'Perf.Relais(1)'!$AA$3:$AA$80)),"")</f>
        <v/>
      </c>
      <c r="L3" s="551" t="str">
        <f t="array" ref="L3">IF(IF($A3&lt;&gt;"",C3&lt;&gt;"OUI"),MAX(IF('Perf.Relais(1)'!$B$3:$B$80=$A3,'Perf.Relais(1)'!$AD$3:$AD$80)),"")</f>
        <v/>
      </c>
      <c r="M3" s="552" t="str">
        <f t="array" ref="M3">IF(IF($A3&lt;&gt;"",C3&lt;&gt;"OUI"),MAX(IF('Perf.Relais(1)'!$B$3:$B$80=$A3,'Perf.Relais(1)'!$AK$3:$AK$80)),"")</f>
        <v/>
      </c>
      <c r="N3" s="555" t="str">
        <f t="array" ref="N3">IF(AND($A3&lt;&gt;"",$C3&lt;&gt;"OUI"),MAX(IF('Perf.Relais(2)'!$B$3:$B$80=$A3,'Perf.Relais(2)'!$AA$3:$AA$80)),"")</f>
        <v/>
      </c>
      <c r="O3" s="551" t="str">
        <f t="array" ref="O3">IF(IF($A3&lt;&gt;"",$C3&lt;&gt;"OUI"),MAX(IF('Perf.Relais(2)'!$B$3:$B$80=$A3,'Perf.Relais(2)'!$AD$3:$AD$80)),"")</f>
        <v/>
      </c>
      <c r="P3" s="588" t="str">
        <f t="array" ref="P3">IF(IF($A3&lt;&gt;"",$C3&lt;&gt;"OUI"),MAX(IF('Perf.Relais(2)'!$B$3:$B$80=$A3,'Perf.Relais(2)'!$AK$3:$AK$80)),"")</f>
        <v/>
      </c>
      <c r="Q3" s="553">
        <f t="array" aca="1" ref="Q3" ca="1">IF($A3&lt;&gt;"",MAX(IF(Perf.Sprint!$B$4:$B$40=$A3,Perf.Sprint!$T$4:$T$40)),"")</f>
        <v>0</v>
      </c>
      <c r="R3" s="554" t="str">
        <f t="array" ref="R3">IF(AND($A3&lt;&gt;"",C3&lt;&gt;"OUI"),MAX(IF(Perf.Sprint!$B$4:$B$40=$A3,Perf.Sprint!$AF$4:$AF$40)),"")</f>
        <v/>
      </c>
      <c r="S3" s="554" t="str">
        <f t="array" ref="S3">IF(AND($A3&lt;&gt;"",C3&lt;&gt;"OUI"),MAX(IF(Perf.Sprint!$B$4:$B$40=$A3,Perf.Sprint!$AS$4:$AS$40)),"")</f>
        <v/>
      </c>
      <c r="T3" s="593" t="str">
        <f t="array" ref="T3">IF(AND($A3&lt;&gt;"",C3&lt;&gt;"OUI"),MAX(IF(Perf.Sprint!$B$4:$B$40=$A3,Perf.Sprint!$BF$4:$BF$40)),"")</f>
        <v/>
      </c>
      <c r="U3" s="589" t="str">
        <f>IFERROR(RANK($D3,$D$3:$D$39,0)+COUNTIF(D$3:D3,D3)-1,"")</f>
        <v/>
      </c>
    </row>
    <row r="4" spans="1:21" ht="24" customHeight="1">
      <c r="A4" s="543" t="str">
        <f>IF(Liste!B4&lt;&gt;"",Liste!B4,"")</f>
        <v>B</v>
      </c>
      <c r="B4" s="544" t="str">
        <f>IF(Liste!C4&lt;&gt;"",Liste!C4,"")</f>
        <v>M</v>
      </c>
      <c r="C4" s="6" t="s">
        <v>239</v>
      </c>
      <c r="D4" s="546" t="str">
        <f t="shared" ref="D4:D39" si="0">IF(A4&lt;&gt;"",IF(COUNT(F4:J4)=5,MROUND(SUM(F4,G4,H4,I4,J4),1),"?"),"")</f>
        <v>?</v>
      </c>
      <c r="E4" s="547"/>
      <c r="F4" s="548" t="str">
        <f>IF(E4&lt;&gt;"",INDEX(Barème!$AK$20:$AK$24,MATCH(E4,Barème!$AL$20:$AL$24,0)),"")</f>
        <v/>
      </c>
      <c r="G4" s="549" t="str">
        <f t="shared" ref="G4:G39" si="1">IF(AND(A4&lt;&gt;"",C4&lt;&gt;"OUI"),IF(COUNT(S4,T4,R4)=3,S4/5*4,""),"")</f>
        <v/>
      </c>
      <c r="H4" s="549" t="str">
        <f t="shared" ref="H4:H39" si="2">IF(AND($A4&lt;&gt;"",$C4&lt;&gt;"OUI"),MAX(L4,O4)/2,"")</f>
        <v/>
      </c>
      <c r="I4" s="549" t="str">
        <f t="shared" ref="I4:I31" si="3">IF(AND($A4&lt;&gt;"",$C4&lt;&gt;"OUI"),MAX(K4,N4)/2,"")</f>
        <v/>
      </c>
      <c r="J4" s="550" t="str">
        <f t="shared" ref="J4:J39" si="4">IF(AND($A4&lt;&gt;"",$C4&lt;&gt;"OUI"),MAX(M4,P4),"")</f>
        <v/>
      </c>
      <c r="K4" s="555" t="str">
        <f t="array" ref="K4">IF(AND($A4&lt;&gt;"",C4&lt;&gt;"OUI"),MAX(IF('Perf.Relais(1)'!$B$3:$B$80=$A4,'Perf.Relais(1)'!$AA$3:$AA$80)),"")</f>
        <v/>
      </c>
      <c r="L4" s="551" t="str">
        <f t="array" ref="L4">IF(IF($A4&lt;&gt;"",C4&lt;&gt;"OUI"),MAX(IF('Perf.Relais(1)'!$B$3:$B$80=$A4,'Perf.Relais(1)'!$AD$3:$AD$80)),"")</f>
        <v/>
      </c>
      <c r="M4" s="552" t="str">
        <f t="array" ref="M4">IF(IF($A4&lt;&gt;"",C4&lt;&gt;"OUI"),MAX(IF('Perf.Relais(1)'!$B$3:$B$80=$A4,'Perf.Relais(1)'!$AK$3:$AK$80)),"")</f>
        <v/>
      </c>
      <c r="N4" s="555" t="str">
        <f t="array" ref="N4">IF(AND($A4&lt;&gt;"",$C4&lt;&gt;"OUI"),MAX(IF('Perf.Relais(2)'!$B$3:$B$80=$A4,'Perf.Relais(2)'!$AA$3:$AA$80)),"")</f>
        <v/>
      </c>
      <c r="O4" s="551" t="str">
        <f t="array" ref="O4">IF(IF($A4&lt;&gt;"",$C4&lt;&gt;"OUI"),MAX(IF('Perf.Relais(2)'!$B$3:$B$80=$A4,'Perf.Relais(2)'!$AD$3:$AD$80)),"")</f>
        <v/>
      </c>
      <c r="P4" s="588" t="str">
        <f t="array" ref="P4">IF(IF($A4&lt;&gt;"",$C4&lt;&gt;"OUI"),MAX(IF('Perf.Relais(2)'!$B$3:$B$80=$A4,'Perf.Relais(2)'!$AK$3:$AK$80)),"")</f>
        <v/>
      </c>
      <c r="Q4" s="553">
        <f t="array" aca="1" ref="Q4" ca="1">IF($A4&lt;&gt;"",MAX(IF(Perf.Sprint!$B$4:$B$40=$A4,Perf.Sprint!$T$4:$T$40)),"")</f>
        <v>2</v>
      </c>
      <c r="R4" s="554" t="str">
        <f t="array" ref="R4">IF(AND($A4&lt;&gt;"",C4&lt;&gt;"OUI"),MAX(IF(Perf.Sprint!$B$4:$B$40=$A4,Perf.Sprint!$AF$4:$AF$40)),"")</f>
        <v/>
      </c>
      <c r="S4" s="554" t="str">
        <f t="array" ref="S4">IF(AND($A4&lt;&gt;"",C4&lt;&gt;"OUI"),MAX(IF(Perf.Sprint!$B$4:$B$40=$A4,Perf.Sprint!$AS$4:$AS$40)),"")</f>
        <v/>
      </c>
      <c r="T4" s="593" t="str">
        <f t="array" ref="T4">IF(AND($A4&lt;&gt;"",C4&lt;&gt;"OUI"),MAX(IF(Perf.Sprint!$B$4:$B$40=$A4,Perf.Sprint!$BF$4:$BF$40)),"")</f>
        <v/>
      </c>
      <c r="U4" s="590" t="str">
        <f>IFERROR(RANK($D4,$D$3:$D$39,0)+COUNTIF(D$3:D4,D4)-1,"")</f>
        <v/>
      </c>
    </row>
    <row r="5" spans="1:21" ht="24" customHeight="1">
      <c r="A5" s="543" t="str">
        <f>IF(Liste!B5&lt;&gt;"",Liste!B5,"")</f>
        <v>C</v>
      </c>
      <c r="B5" s="544" t="str">
        <f>IF(Liste!C5&lt;&gt;"",Liste!C5,"")</f>
        <v>M</v>
      </c>
      <c r="C5" s="6"/>
      <c r="D5" s="546">
        <f t="shared" ca="1" si="0"/>
        <v>19</v>
      </c>
      <c r="E5" s="547" t="s">
        <v>207</v>
      </c>
      <c r="F5" s="548">
        <f>IF(E5&lt;&gt;"",INDEX(Barème!$AK$20:$AK$24,MATCH(E5,Barème!$AL$20:$AL$24,0)),"")</f>
        <v>4</v>
      </c>
      <c r="G5" s="549">
        <f t="shared" ca="1" si="1"/>
        <v>3.6</v>
      </c>
      <c r="H5" s="549">
        <f t="shared" ca="1" si="2"/>
        <v>2.4375</v>
      </c>
      <c r="I5" s="549">
        <f t="shared" ca="1" si="3"/>
        <v>2.875</v>
      </c>
      <c r="J5" s="550">
        <f t="shared" ca="1" si="4"/>
        <v>6</v>
      </c>
      <c r="K5" s="555">
        <f t="array" aca="1" ref="K5" ca="1">IF(AND($A5&lt;&gt;"",C5&lt;&gt;"OUI"),MAX(IF('Perf.Relais(1)'!$B$3:$B$80=$A5,'Perf.Relais(1)'!$AA$3:$AA$80)),"")</f>
        <v>5.75</v>
      </c>
      <c r="L5" s="551">
        <f t="array" aca="1" ref="L5" ca="1">IF(IF($A5&lt;&gt;"",C5&lt;&gt;"OUI"),MAX(IF('Perf.Relais(1)'!$B$3:$B$80=$A5,'Perf.Relais(1)'!$AD$3:$AD$80)),"")</f>
        <v>4.875</v>
      </c>
      <c r="M5" s="552">
        <f t="array" aca="1" ref="M5" ca="1">IF(IF($A5&lt;&gt;"",C5&lt;&gt;"OUI"),MAX(IF('Perf.Relais(1)'!$B$3:$B$80=$A5,'Perf.Relais(1)'!$AK$3:$AK$80)),"")</f>
        <v>6</v>
      </c>
      <c r="N5" s="555">
        <f t="array" aca="1" ref="N5" ca="1">IF(AND($A5&lt;&gt;"",$C5&lt;&gt;"OUI"),MAX(IF('Perf.Relais(2)'!$B$3:$B$80=$A5,'Perf.Relais(2)'!$AA$3:$AA$80)),"")</f>
        <v>0</v>
      </c>
      <c r="O5" s="551">
        <f t="array" aca="1" ref="O5" ca="1">IF(IF($A5&lt;&gt;"",$C5&lt;&gt;"OUI"),MAX(IF('Perf.Relais(2)'!$B$3:$B$80=$A5,'Perf.Relais(2)'!$AD$3:$AD$80)),"")</f>
        <v>0</v>
      </c>
      <c r="P5" s="588">
        <f t="array" aca="1" ref="P5" ca="1">IF(IF($A5&lt;&gt;"",$C5&lt;&gt;"OUI"),MAX(IF('Perf.Relais(2)'!$B$3:$B$80=$A5,'Perf.Relais(2)'!$AK$3:$AK$80)),"")</f>
        <v>0</v>
      </c>
      <c r="Q5" s="553">
        <f t="array" aca="1" ref="Q5" ca="1">IF($A5&lt;&gt;"",MAX(IF(Perf.Sprint!$B$4:$B$40=$A5,Perf.Sprint!$T$4:$T$40)),"")</f>
        <v>3</v>
      </c>
      <c r="R5" s="554">
        <f t="array" aca="1" ref="R5" ca="1">IF(AND($A5&lt;&gt;"",C5&lt;&gt;"OUI"),MAX(IF(Perf.Sprint!$B$4:$B$40=$A5,Perf.Sprint!$AF$4:$AF$40)),"")</f>
        <v>4</v>
      </c>
      <c r="S5" s="554">
        <f t="array" aca="1" ref="S5" ca="1">IF(AND($A5&lt;&gt;"",C5&lt;&gt;"OUI"),MAX(IF(Perf.Sprint!$B$4:$B$40=$A5,Perf.Sprint!$AS$4:$AS$40)),"")</f>
        <v>4.5</v>
      </c>
      <c r="T5" s="593">
        <f t="array" aca="1" ref="T5" ca="1">IF(AND($A5&lt;&gt;"",C5&lt;&gt;"OUI"),MAX(IF(Perf.Sprint!$B$4:$B$40=$A5,Perf.Sprint!$BF$4:$BF$40)),"")</f>
        <v>4.5</v>
      </c>
      <c r="U5" s="590">
        <f ca="1">IFERROR(RANK($D5,$D$3:$D$39,0)+COUNTIF(D$3:D5,D5)-1,"")</f>
        <v>1</v>
      </c>
    </row>
    <row r="6" spans="1:21" ht="24" customHeight="1">
      <c r="A6" s="543" t="str">
        <f>IF(Liste!B6&lt;&gt;"",Liste!B6,"")</f>
        <v>D</v>
      </c>
      <c r="B6" s="544" t="str">
        <f>IF(Liste!C6&lt;&gt;"",Liste!C6,"")</f>
        <v>M</v>
      </c>
      <c r="C6" s="6"/>
      <c r="D6" s="546">
        <f t="shared" ca="1" si="0"/>
        <v>19</v>
      </c>
      <c r="E6" s="547" t="s">
        <v>207</v>
      </c>
      <c r="F6" s="548">
        <f>IF(E6&lt;&gt;"",INDEX(Barème!$AK$20:$AK$24,MATCH(E6,Barème!$AL$20:$AL$24,0)),"")</f>
        <v>4</v>
      </c>
      <c r="G6" s="549">
        <f t="shared" ca="1" si="1"/>
        <v>3.8</v>
      </c>
      <c r="H6" s="549">
        <f t="shared" ca="1" si="2"/>
        <v>2.4375</v>
      </c>
      <c r="I6" s="549">
        <f t="shared" ca="1" si="3"/>
        <v>2.875</v>
      </c>
      <c r="J6" s="550">
        <f t="shared" ca="1" si="4"/>
        <v>6</v>
      </c>
      <c r="K6" s="555">
        <f t="array" aca="1" ref="K6" ca="1">IF(AND($A6&lt;&gt;"",C6&lt;&gt;"OUI"),MAX(IF('Perf.Relais(1)'!$B$3:$B$80=$A6,'Perf.Relais(1)'!$AA$3:$AA$80)),"")</f>
        <v>5.75</v>
      </c>
      <c r="L6" s="551">
        <f t="array" aca="1" ref="L6" ca="1">IF(IF($A6&lt;&gt;"",C6&lt;&gt;"OUI"),MAX(IF('Perf.Relais(1)'!$B$3:$B$80=$A6,'Perf.Relais(1)'!$AD$3:$AD$80)),"")</f>
        <v>4.875</v>
      </c>
      <c r="M6" s="552">
        <f t="array" aca="1" ref="M6" ca="1">IF(IF($A6&lt;&gt;"",C6&lt;&gt;"OUI"),MAX(IF('Perf.Relais(1)'!$B$3:$B$80=$A6,'Perf.Relais(1)'!$AK$3:$AK$80)),"")</f>
        <v>6</v>
      </c>
      <c r="N6" s="555">
        <f t="array" aca="1" ref="N6" ca="1">IF(AND($A6&lt;&gt;"",$C6&lt;&gt;"OUI"),MAX(IF('Perf.Relais(2)'!$B$3:$B$80=$A6,'Perf.Relais(2)'!$AA$3:$AA$80)),"")</f>
        <v>0</v>
      </c>
      <c r="O6" s="551">
        <f t="array" aca="1" ref="O6" ca="1">IF(IF($A6&lt;&gt;"",$C6&lt;&gt;"OUI"),MAX(IF('Perf.Relais(2)'!$B$3:$B$80=$A6,'Perf.Relais(2)'!$AD$3:$AD$80)),"")</f>
        <v>0</v>
      </c>
      <c r="P6" s="588">
        <f t="array" aca="1" ref="P6" ca="1">IF(IF($A6&lt;&gt;"",$C6&lt;&gt;"OUI"),MAX(IF('Perf.Relais(2)'!$B$3:$B$80=$A6,'Perf.Relais(2)'!$AK$3:$AK$80)),"")</f>
        <v>0</v>
      </c>
      <c r="Q6" s="553">
        <f t="array" aca="1" ref="Q6" ca="1">IF($A6&lt;&gt;"",MAX(IF(Perf.Sprint!$B$4:$B$40=$A6,Perf.Sprint!$T$4:$T$40)),"")</f>
        <v>4</v>
      </c>
      <c r="R6" s="554">
        <f t="array" aca="1" ref="R6" ca="1">IF(AND($A6&lt;&gt;"",C6&lt;&gt;"OUI"),MAX(IF(Perf.Sprint!$B$4:$B$40=$A6,Perf.Sprint!$AF$4:$AF$40)),"")</f>
        <v>5</v>
      </c>
      <c r="S6" s="554">
        <f t="array" aca="1" ref="S6" ca="1">IF(AND($A6&lt;&gt;"",C6&lt;&gt;"OUI"),MAX(IF(Perf.Sprint!$B$4:$B$40=$A6,Perf.Sprint!$AS$4:$AS$40)),"")</f>
        <v>4.75</v>
      </c>
      <c r="T6" s="593">
        <f t="array" aca="1" ref="T6" ca="1">IF(AND($A6&lt;&gt;"",C6&lt;&gt;"OUI"),MAX(IF(Perf.Sprint!$B$4:$B$40=$A6,Perf.Sprint!$BF$4:$BF$40)),"")</f>
        <v>4.5</v>
      </c>
      <c r="U6" s="590">
        <f ca="1">IFERROR(RANK($D6,$D$3:$D$39,0)+COUNTIF(D$3:D6,D6)-1,"")</f>
        <v>2</v>
      </c>
    </row>
    <row r="7" spans="1:21" ht="24" customHeight="1">
      <c r="A7" s="543" t="str">
        <f>IF(Liste!B7&lt;&gt;"",Liste!B7,"")</f>
        <v>E</v>
      </c>
      <c r="B7" s="544" t="str">
        <f>IF(Liste!C7&lt;&gt;"",Liste!C7,"")</f>
        <v>M</v>
      </c>
      <c r="C7" s="6"/>
      <c r="D7" s="546">
        <f t="shared" ca="1" si="0"/>
        <v>13</v>
      </c>
      <c r="E7" s="547" t="s">
        <v>207</v>
      </c>
      <c r="F7" s="548">
        <f>IF(E7&lt;&gt;"",INDEX(Barème!$AK$20:$AK$24,MATCH(E7,Barème!$AL$20:$AL$24,0)),"")</f>
        <v>4</v>
      </c>
      <c r="G7" s="549">
        <f t="shared" ca="1" si="1"/>
        <v>2</v>
      </c>
      <c r="H7" s="549">
        <f t="shared" ca="1" si="2"/>
        <v>0</v>
      </c>
      <c r="I7" s="549">
        <f t="shared" ca="1" si="3"/>
        <v>1.375</v>
      </c>
      <c r="J7" s="550">
        <f t="shared" ca="1" si="4"/>
        <v>6</v>
      </c>
      <c r="K7" s="555">
        <f t="array" aca="1" ref="K7" ca="1">IF(AND($A7&lt;&gt;"",C7&lt;&gt;"OUI"),MAX(IF('Perf.Relais(1)'!$B$3:$B$80=$A7,'Perf.Relais(1)'!$AA$3:$AA$80)),"")</f>
        <v>2.75</v>
      </c>
      <c r="L7" s="551">
        <f t="array" aca="1" ref="L7" ca="1">IF(IF($A7&lt;&gt;"",C7&lt;&gt;"OUI"),MAX(IF('Perf.Relais(1)'!$B$3:$B$80=$A7,'Perf.Relais(1)'!$AD$3:$AD$80)),"")</f>
        <v>0</v>
      </c>
      <c r="M7" s="552">
        <f t="array" aca="1" ref="M7" ca="1">IF(IF($A7&lt;&gt;"",C7&lt;&gt;"OUI"),MAX(IF('Perf.Relais(1)'!$B$3:$B$80=$A7,'Perf.Relais(1)'!$AK$3:$AK$80)),"")</f>
        <v>6</v>
      </c>
      <c r="N7" s="555">
        <f t="array" aca="1" ref="N7" ca="1">IF(AND($A7&lt;&gt;"",$C7&lt;&gt;"OUI"),MAX(IF('Perf.Relais(2)'!$B$3:$B$80=$A7,'Perf.Relais(2)'!$AA$3:$AA$80)),"")</f>
        <v>0</v>
      </c>
      <c r="O7" s="551">
        <f t="array" aca="1" ref="O7" ca="1">IF(IF($A7&lt;&gt;"",$C7&lt;&gt;"OUI"),MAX(IF('Perf.Relais(2)'!$B$3:$B$80=$A7,'Perf.Relais(2)'!$AD$3:$AD$80)),"")</f>
        <v>0</v>
      </c>
      <c r="P7" s="588">
        <f t="array" aca="1" ref="P7" ca="1">IF(IF($A7&lt;&gt;"",$C7&lt;&gt;"OUI"),MAX(IF('Perf.Relais(2)'!$B$3:$B$80=$A7,'Perf.Relais(2)'!$AK$3:$AK$80)),"")</f>
        <v>0</v>
      </c>
      <c r="Q7" s="553">
        <f t="array" aca="1" ref="Q7" ca="1">IF($A7&lt;&gt;"",MAX(IF(Perf.Sprint!$B$4:$B$40=$A7,Perf.Sprint!$T$4:$T$40)),"")</f>
        <v>2</v>
      </c>
      <c r="R7" s="554">
        <f t="array" aca="1" ref="R7" ca="1">IF(AND($A7&lt;&gt;"",C7&lt;&gt;"OUI"),MAX(IF(Perf.Sprint!$B$4:$B$40=$A7,Perf.Sprint!$AF$4:$AF$40)),"")</f>
        <v>2</v>
      </c>
      <c r="S7" s="554">
        <f t="array" aca="1" ref="S7" ca="1">IF(AND($A7&lt;&gt;"",C7&lt;&gt;"OUI"),MAX(IF(Perf.Sprint!$B$4:$B$40=$A7,Perf.Sprint!$AS$4:$AS$40)),"")</f>
        <v>2.5</v>
      </c>
      <c r="T7" s="593">
        <f t="array" aca="1" ref="T7" ca="1">IF(AND($A7&lt;&gt;"",C7&lt;&gt;"OUI"),MAX(IF(Perf.Sprint!$B$4:$B$40=$A7,Perf.Sprint!$BF$4:$BF$40)),"")</f>
        <v>2.75</v>
      </c>
      <c r="U7" s="590">
        <f ca="1">IFERROR(RANK($D7,$D$3:$D$39,0)+COUNTIF(D$3:D7,D7)-1,"")</f>
        <v>10</v>
      </c>
    </row>
    <row r="8" spans="1:21" ht="24" customHeight="1">
      <c r="A8" s="543" t="str">
        <f>IF(Liste!B8&lt;&gt;"",Liste!B8,"")</f>
        <v>F</v>
      </c>
      <c r="B8" s="544" t="str">
        <f>IF(Liste!C8&lt;&gt;"",Liste!C8,"")</f>
        <v>F</v>
      </c>
      <c r="C8" s="6"/>
      <c r="D8" s="546">
        <f t="shared" ca="1" si="0"/>
        <v>14</v>
      </c>
      <c r="E8" s="547" t="s">
        <v>207</v>
      </c>
      <c r="F8" s="548">
        <f>IF(E8&lt;&gt;"",INDEX(Barème!$AK$20:$AK$24,MATCH(E8,Barème!$AL$20:$AL$24,0)),"")</f>
        <v>4</v>
      </c>
      <c r="G8" s="549">
        <f t="shared" ca="1" si="1"/>
        <v>3</v>
      </c>
      <c r="H8" s="549">
        <f t="shared" ca="1" si="2"/>
        <v>0</v>
      </c>
      <c r="I8" s="549">
        <f t="shared" ca="1" si="3"/>
        <v>1.375</v>
      </c>
      <c r="J8" s="550">
        <f t="shared" ca="1" si="4"/>
        <v>6</v>
      </c>
      <c r="K8" s="555">
        <f t="array" aca="1" ref="K8" ca="1">IF(AND($A8&lt;&gt;"",C8&lt;&gt;"OUI"),MAX(IF('Perf.Relais(1)'!$B$3:$B$80=$A8,'Perf.Relais(1)'!$AA$3:$AA$80)),"")</f>
        <v>2.75</v>
      </c>
      <c r="L8" s="551">
        <f t="array" aca="1" ref="L8" ca="1">IF(IF($A8&lt;&gt;"",C8&lt;&gt;"OUI"),MAX(IF('Perf.Relais(1)'!$B$3:$B$80=$A8,'Perf.Relais(1)'!$AD$3:$AD$80)),"")</f>
        <v>0</v>
      </c>
      <c r="M8" s="552">
        <f t="array" aca="1" ref="M8" ca="1">IF(IF($A8&lt;&gt;"",C8&lt;&gt;"OUI"),MAX(IF('Perf.Relais(1)'!$B$3:$B$80=$A8,'Perf.Relais(1)'!$AK$3:$AK$80)),"")</f>
        <v>6</v>
      </c>
      <c r="N8" s="555">
        <f t="array" aca="1" ref="N8" ca="1">IF(AND($A8&lt;&gt;"",$C8&lt;&gt;"OUI"),MAX(IF('Perf.Relais(2)'!$B$3:$B$80=$A8,'Perf.Relais(2)'!$AA$3:$AA$80)),"")</f>
        <v>0</v>
      </c>
      <c r="O8" s="551">
        <f t="array" aca="1" ref="O8" ca="1">IF(IF($A8&lt;&gt;"",$C8&lt;&gt;"OUI"),MAX(IF('Perf.Relais(2)'!$B$3:$B$80=$A8,'Perf.Relais(2)'!$AD$3:$AD$80)),"")</f>
        <v>0</v>
      </c>
      <c r="P8" s="588">
        <f t="array" aca="1" ref="P8" ca="1">IF(IF($A8&lt;&gt;"",$C8&lt;&gt;"OUI"),MAX(IF('Perf.Relais(2)'!$B$3:$B$80=$A8,'Perf.Relais(2)'!$AK$3:$AK$80)),"")</f>
        <v>0</v>
      </c>
      <c r="Q8" s="553">
        <f t="array" aca="1" ref="Q8" ca="1">IF($A8&lt;&gt;"",MAX(IF(Perf.Sprint!$B$4:$B$40=$A8,Perf.Sprint!$T$4:$T$40)),"")</f>
        <v>4</v>
      </c>
      <c r="R8" s="554">
        <f t="array" aca="1" ref="R8" ca="1">IF(AND($A8&lt;&gt;"",C8&lt;&gt;"OUI"),MAX(IF(Perf.Sprint!$B$4:$B$40=$A8,Perf.Sprint!$AF$4:$AF$40)),"")</f>
        <v>4</v>
      </c>
      <c r="S8" s="554">
        <f t="array" aca="1" ref="S8" ca="1">IF(AND($A8&lt;&gt;"",C8&lt;&gt;"OUI"),MAX(IF(Perf.Sprint!$B$4:$B$40=$A8,Perf.Sprint!$AS$4:$AS$40)),"")</f>
        <v>3.75</v>
      </c>
      <c r="T8" s="593">
        <f t="array" aca="1" ref="T8" ca="1">IF(AND($A8&lt;&gt;"",C8&lt;&gt;"OUI"),MAX(IF(Perf.Sprint!$B$4:$B$40=$A8,Perf.Sprint!$BF$4:$BF$40)),"")</f>
        <v>3.5</v>
      </c>
      <c r="U8" s="590">
        <f ca="1">IFERROR(RANK($D8,$D$3:$D$39,0)+COUNTIF(D$3:D8,D8)-1,"")</f>
        <v>7</v>
      </c>
    </row>
    <row r="9" spans="1:21" ht="24" customHeight="1">
      <c r="A9" s="543" t="str">
        <f>IF(Liste!B9&lt;&gt;"",Liste!B9,"")</f>
        <v>G</v>
      </c>
      <c r="B9" s="544" t="str">
        <f>IF(Liste!C9&lt;&gt;"",Liste!C9,"")</f>
        <v>M</v>
      </c>
      <c r="C9" s="6"/>
      <c r="D9" s="546">
        <f t="shared" ca="1" si="0"/>
        <v>13</v>
      </c>
      <c r="E9" s="547" t="s">
        <v>207</v>
      </c>
      <c r="F9" s="548">
        <f>IF(E9&lt;&gt;"",INDEX(Barème!$AK$20:$AK$24,MATCH(E9,Barème!$AL$20:$AL$24,0)),"")</f>
        <v>4</v>
      </c>
      <c r="G9" s="549">
        <f t="shared" ca="1" si="1"/>
        <v>3.2</v>
      </c>
      <c r="H9" s="549">
        <f t="shared" ca="1" si="2"/>
        <v>0</v>
      </c>
      <c r="I9" s="549">
        <f t="shared" ca="1" si="3"/>
        <v>1.375</v>
      </c>
      <c r="J9" s="550">
        <f t="shared" ca="1" si="4"/>
        <v>4.875</v>
      </c>
      <c r="K9" s="555">
        <f t="array" aca="1" ref="K9" ca="1">IF(AND($A9&lt;&gt;"",C9&lt;&gt;"OUI"),MAX(IF('Perf.Relais(1)'!$B$3:$B$80=$A9,'Perf.Relais(1)'!$AA$3:$AA$80)),"")</f>
        <v>2.75</v>
      </c>
      <c r="L9" s="551">
        <f t="array" aca="1" ref="L9" ca="1">IF(IF($A9&lt;&gt;"",C9&lt;&gt;"OUI"),MAX(IF('Perf.Relais(1)'!$B$3:$B$80=$A9,'Perf.Relais(1)'!$AD$3:$AD$80)),"")</f>
        <v>0</v>
      </c>
      <c r="M9" s="552">
        <f t="array" aca="1" ref="M9" ca="1">IF(IF($A9&lt;&gt;"",C9&lt;&gt;"OUI"),MAX(IF('Perf.Relais(1)'!$B$3:$B$80=$A9,'Perf.Relais(1)'!$AK$3:$AK$80)),"")</f>
        <v>4.875</v>
      </c>
      <c r="N9" s="555">
        <f t="array" aca="1" ref="N9" ca="1">IF(AND($A9&lt;&gt;"",$C9&lt;&gt;"OUI"),MAX(IF('Perf.Relais(2)'!$B$3:$B$80=$A9,'Perf.Relais(2)'!$AA$3:$AA$80)),"")</f>
        <v>0</v>
      </c>
      <c r="O9" s="551">
        <f t="array" aca="1" ref="O9" ca="1">IF(IF($A9&lt;&gt;"",$C9&lt;&gt;"OUI"),MAX(IF('Perf.Relais(2)'!$B$3:$B$80=$A9,'Perf.Relais(2)'!$AD$3:$AD$80)),"")</f>
        <v>0</v>
      </c>
      <c r="P9" s="588">
        <f t="array" aca="1" ref="P9" ca="1">IF(IF($A9&lt;&gt;"",$C9&lt;&gt;"OUI"),MAX(IF('Perf.Relais(2)'!$B$3:$B$80=$A9,'Perf.Relais(2)'!$AK$3:$AK$80)),"")</f>
        <v>0</v>
      </c>
      <c r="Q9" s="553">
        <f t="array" aca="1" ref="Q9" ca="1">IF($A9&lt;&gt;"",MAX(IF(Perf.Sprint!$B$4:$B$40=$A9,Perf.Sprint!$T$4:$T$40)),"")</f>
        <v>3</v>
      </c>
      <c r="R9" s="554">
        <f t="array" aca="1" ref="R9" ca="1">IF(AND($A9&lt;&gt;"",C9&lt;&gt;"OUI"),MAX(IF(Perf.Sprint!$B$4:$B$40=$A9,Perf.Sprint!$AF$4:$AF$40)),"")</f>
        <v>4</v>
      </c>
      <c r="S9" s="554">
        <f t="array" aca="1" ref="S9" ca="1">IF(AND($A9&lt;&gt;"",C9&lt;&gt;"OUI"),MAX(IF(Perf.Sprint!$B$4:$B$40=$A9,Perf.Sprint!$AS$4:$AS$40)),"")</f>
        <v>4</v>
      </c>
      <c r="T9" s="593">
        <f t="array" aca="1" ref="T9" ca="1">IF(AND($A9&lt;&gt;"",C9&lt;&gt;"OUI"),MAX(IF(Perf.Sprint!$B$4:$B$40=$A9,Perf.Sprint!$BF$4:$BF$40)),"")</f>
        <v>4</v>
      </c>
      <c r="U9" s="590">
        <f ca="1">IFERROR(RANK($D9,$D$3:$D$39,0)+COUNTIF(D$3:D9,D9)-1,"")</f>
        <v>11</v>
      </c>
    </row>
    <row r="10" spans="1:21" ht="24" customHeight="1">
      <c r="A10" s="543" t="str">
        <f>IF(Liste!B10&lt;&gt;"",Liste!B10,"")</f>
        <v>H</v>
      </c>
      <c r="B10" s="544" t="str">
        <f>IF(Liste!C10&lt;&gt;"",Liste!C10,"")</f>
        <v>F</v>
      </c>
      <c r="C10" s="6"/>
      <c r="D10" s="546">
        <f t="shared" ca="1" si="0"/>
        <v>12</v>
      </c>
      <c r="E10" s="547" t="s">
        <v>49</v>
      </c>
      <c r="F10" s="548">
        <f>IF(E10&lt;&gt;"",INDEX(Barème!$AK$20:$AK$24,MATCH(E10,Barème!$AL$20:$AL$24,0)),"")</f>
        <v>3</v>
      </c>
      <c r="G10" s="549">
        <f t="shared" ca="1" si="1"/>
        <v>3.6</v>
      </c>
      <c r="H10" s="549">
        <f t="shared" ca="1" si="2"/>
        <v>0.375</v>
      </c>
      <c r="I10" s="549">
        <f t="shared" ca="1" si="3"/>
        <v>2.125</v>
      </c>
      <c r="J10" s="550">
        <f t="shared" ca="1" si="4"/>
        <v>3</v>
      </c>
      <c r="K10" s="555">
        <f t="array" aca="1" ref="K10" ca="1">IF(AND($A10&lt;&gt;"",C10&lt;&gt;"OUI"),MAX(IF('Perf.Relais(1)'!$B$3:$B$80=$A10,'Perf.Relais(1)'!$AA$3:$AA$80)),"")</f>
        <v>4.25</v>
      </c>
      <c r="L10" s="551">
        <f t="array" aca="1" ref="L10" ca="1">IF(IF($A10&lt;&gt;"",C10&lt;&gt;"OUI"),MAX(IF('Perf.Relais(1)'!$B$3:$B$80=$A10,'Perf.Relais(1)'!$AD$3:$AD$80)),"")</f>
        <v>0.75</v>
      </c>
      <c r="M10" s="552">
        <f t="array" aca="1" ref="M10" ca="1">IF(IF($A10&lt;&gt;"",C10&lt;&gt;"OUI"),MAX(IF('Perf.Relais(1)'!$B$3:$B$80=$A10,'Perf.Relais(1)'!$AK$3:$AK$80)),"")</f>
        <v>3</v>
      </c>
      <c r="N10" s="555">
        <f t="array" aca="1" ref="N10" ca="1">IF(AND($A10&lt;&gt;"",$C10&lt;&gt;"OUI"),MAX(IF('Perf.Relais(2)'!$B$3:$B$80=$A10,'Perf.Relais(2)'!$AA$3:$AA$80)),"")</f>
        <v>0</v>
      </c>
      <c r="O10" s="551">
        <f t="array" aca="1" ref="O10" ca="1">IF(IF($A10&lt;&gt;"",$C10&lt;&gt;"OUI"),MAX(IF('Perf.Relais(2)'!$B$3:$B$80=$A10,'Perf.Relais(2)'!$AD$3:$AD$80)),"")</f>
        <v>0</v>
      </c>
      <c r="P10" s="588">
        <f t="array" aca="1" ref="P10" ca="1">IF(IF($A10&lt;&gt;"",$C10&lt;&gt;"OUI"),MAX(IF('Perf.Relais(2)'!$B$3:$B$80=$A10,'Perf.Relais(2)'!$AK$3:$AK$80)),"")</f>
        <v>0</v>
      </c>
      <c r="Q10" s="553">
        <f t="array" aca="1" ref="Q10" ca="1">IF($A10&lt;&gt;"",MAX(IF(Perf.Sprint!$B$4:$B$40=$A10,Perf.Sprint!$T$4:$T$40)),"")</f>
        <v>5</v>
      </c>
      <c r="R10" s="554">
        <f t="array" aca="1" ref="R10" ca="1">IF(AND($A10&lt;&gt;"",C10&lt;&gt;"OUI"),MAX(IF(Perf.Sprint!$B$4:$B$40=$A10,Perf.Sprint!$AF$4:$AF$40)),"")</f>
        <v>4</v>
      </c>
      <c r="S10" s="554">
        <f t="array" aca="1" ref="S10" ca="1">IF(AND($A10&lt;&gt;"",C10&lt;&gt;"OUI"),MAX(IF(Perf.Sprint!$B$4:$B$40=$A10,Perf.Sprint!$AS$4:$AS$40)),"")</f>
        <v>4.5</v>
      </c>
      <c r="T10" s="593">
        <f t="array" aca="1" ref="T10" ca="1">IF(AND($A10&lt;&gt;"",C10&lt;&gt;"OUI"),MAX(IF(Perf.Sprint!$B$4:$B$40=$A10,Perf.Sprint!$BF$4:$BF$40)),"")</f>
        <v>4</v>
      </c>
      <c r="U10" s="590">
        <f ca="1">IFERROR(RANK($D10,$D$3:$D$39,0)+COUNTIF(D$3:D10,D10)-1,"")</f>
        <v>13</v>
      </c>
    </row>
    <row r="11" spans="1:21" ht="24" customHeight="1">
      <c r="A11" s="543" t="str">
        <f>IF(Liste!B11&lt;&gt;"",Liste!B11,"")</f>
        <v>I</v>
      </c>
      <c r="B11" s="544" t="str">
        <f>IF(Liste!C11&lt;&gt;"",Liste!C11,"")</f>
        <v>M</v>
      </c>
      <c r="C11" s="6" t="s">
        <v>239</v>
      </c>
      <c r="D11" s="546" t="str">
        <f t="shared" si="0"/>
        <v>?</v>
      </c>
      <c r="E11" s="547"/>
      <c r="F11" s="548" t="str">
        <f>IF(E11&lt;&gt;"",INDEX(Barème!$AK$20:$AK$24,MATCH(E11,Barème!$AL$20:$AL$24,0)),"")</f>
        <v/>
      </c>
      <c r="G11" s="549" t="str">
        <f t="shared" si="1"/>
        <v/>
      </c>
      <c r="H11" s="549" t="str">
        <f t="shared" si="2"/>
        <v/>
      </c>
      <c r="I11" s="549" t="str">
        <f t="shared" si="3"/>
        <v/>
      </c>
      <c r="J11" s="550" t="str">
        <f t="shared" si="4"/>
        <v/>
      </c>
      <c r="K11" s="555" t="str">
        <f t="array" ref="K11">IF(AND($A11&lt;&gt;"",C11&lt;&gt;"OUI"),MAX(IF('Perf.Relais(1)'!$B$3:$B$80=$A11,'Perf.Relais(1)'!$AA$3:$AA$80)),"")</f>
        <v/>
      </c>
      <c r="L11" s="551" t="str">
        <f t="array" ref="L11">IF(IF($A11&lt;&gt;"",C11&lt;&gt;"OUI"),MAX(IF('Perf.Relais(1)'!$B$3:$B$80=$A11,'Perf.Relais(1)'!$AD$3:$AD$80)),"")</f>
        <v/>
      </c>
      <c r="M11" s="552" t="str">
        <f t="array" ref="M11">IF(IF($A11&lt;&gt;"",C11&lt;&gt;"OUI"),MAX(IF('Perf.Relais(1)'!$B$3:$B$80=$A11,'Perf.Relais(1)'!$AK$3:$AK$80)),"")</f>
        <v/>
      </c>
      <c r="N11" s="555" t="str">
        <f t="array" ref="N11">IF(AND($A11&lt;&gt;"",$C11&lt;&gt;"OUI"),MAX(IF('Perf.Relais(2)'!$B$3:$B$80=$A11,'Perf.Relais(2)'!$AA$3:$AA$80)),"")</f>
        <v/>
      </c>
      <c r="O11" s="551" t="str">
        <f t="array" ref="O11">IF(IF($A11&lt;&gt;"",$C11&lt;&gt;"OUI"),MAX(IF('Perf.Relais(2)'!$B$3:$B$80=$A11,'Perf.Relais(2)'!$AD$3:$AD$80)),"")</f>
        <v/>
      </c>
      <c r="P11" s="588" t="str">
        <f t="array" ref="P11">IF(IF($A11&lt;&gt;"",$C11&lt;&gt;"OUI"),MAX(IF('Perf.Relais(2)'!$B$3:$B$80=$A11,'Perf.Relais(2)'!$AK$3:$AK$80)),"")</f>
        <v/>
      </c>
      <c r="Q11" s="553">
        <f t="array" aca="1" ref="Q11" ca="1">IF($A11&lt;&gt;"",MAX(IF(Perf.Sprint!$B$4:$B$40=$A11,Perf.Sprint!$T$4:$T$40)),"")</f>
        <v>0</v>
      </c>
      <c r="R11" s="554" t="str">
        <f t="array" ref="R11">IF(AND($A11&lt;&gt;"",C11&lt;&gt;"OUI"),MAX(IF(Perf.Sprint!$B$4:$B$40=$A11,Perf.Sprint!$AF$4:$AF$40)),"")</f>
        <v/>
      </c>
      <c r="S11" s="554" t="str">
        <f t="array" ref="S11">IF(AND($A11&lt;&gt;"",C11&lt;&gt;"OUI"),MAX(IF(Perf.Sprint!$B$4:$B$40=$A11,Perf.Sprint!$AS$4:$AS$40)),"")</f>
        <v/>
      </c>
      <c r="T11" s="593" t="str">
        <f t="array" ref="T11">IF(AND($A11&lt;&gt;"",C11&lt;&gt;"OUI"),MAX(IF(Perf.Sprint!$B$4:$B$40=$A11,Perf.Sprint!$BF$4:$BF$40)),"")</f>
        <v/>
      </c>
      <c r="U11" s="590" t="str">
        <f ca="1">IFERROR(RANK($D11,$D$3:$D$39,0)+COUNTIF(D$3:D11,D11)-1,"")</f>
        <v/>
      </c>
    </row>
    <row r="12" spans="1:21" ht="24" customHeight="1">
      <c r="A12" s="543" t="str">
        <f>IF(Liste!B12&lt;&gt;"",Liste!B12,"")</f>
        <v xml:space="preserve">J </v>
      </c>
      <c r="B12" s="544" t="str">
        <f>IF(Liste!C12&lt;&gt;"",Liste!C12,"")</f>
        <v>M</v>
      </c>
      <c r="C12" s="6"/>
      <c r="D12" s="546">
        <f t="shared" ca="1" si="0"/>
        <v>12</v>
      </c>
      <c r="E12" s="547" t="s">
        <v>207</v>
      </c>
      <c r="F12" s="548">
        <f>IF(E12&lt;&gt;"",INDEX(Barème!$AK$20:$AK$24,MATCH(E12,Barème!$AL$20:$AL$24,0)),"")</f>
        <v>4</v>
      </c>
      <c r="G12" s="549">
        <f t="shared" ca="1" si="1"/>
        <v>2</v>
      </c>
      <c r="H12" s="549">
        <f t="shared" ca="1" si="2"/>
        <v>0</v>
      </c>
      <c r="I12" s="549">
        <f t="shared" ca="1" si="3"/>
        <v>1.375</v>
      </c>
      <c r="J12" s="550">
        <f t="shared" ca="1" si="4"/>
        <v>4.875</v>
      </c>
      <c r="K12" s="555">
        <f t="array" aca="1" ref="K12" ca="1">IF(AND($A12&lt;&gt;"",C12&lt;&gt;"OUI"),MAX(IF('Perf.Relais(1)'!$B$3:$B$80=$A12,'Perf.Relais(1)'!$AA$3:$AA$80)),"")</f>
        <v>2.75</v>
      </c>
      <c r="L12" s="551">
        <f t="array" aca="1" ref="L12" ca="1">IF(IF($A12&lt;&gt;"",C12&lt;&gt;"OUI"),MAX(IF('Perf.Relais(1)'!$B$3:$B$80=$A12,'Perf.Relais(1)'!$AD$3:$AD$80)),"")</f>
        <v>0</v>
      </c>
      <c r="M12" s="552">
        <f t="array" aca="1" ref="M12" ca="1">IF(IF($A12&lt;&gt;"",C12&lt;&gt;"OUI"),MAX(IF('Perf.Relais(1)'!$B$3:$B$80=$A12,'Perf.Relais(1)'!$AK$3:$AK$80)),"")</f>
        <v>4.875</v>
      </c>
      <c r="N12" s="555">
        <f t="array" aca="1" ref="N12" ca="1">IF(AND($A12&lt;&gt;"",$C12&lt;&gt;"OUI"),MAX(IF('Perf.Relais(2)'!$B$3:$B$80=$A12,'Perf.Relais(2)'!$AA$3:$AA$80)),"")</f>
        <v>0</v>
      </c>
      <c r="O12" s="551">
        <f t="array" aca="1" ref="O12" ca="1">IF(IF($A12&lt;&gt;"",$C12&lt;&gt;"OUI"),MAX(IF('Perf.Relais(2)'!$B$3:$B$80=$A12,'Perf.Relais(2)'!$AD$3:$AD$80)),"")</f>
        <v>0</v>
      </c>
      <c r="P12" s="588">
        <f t="array" aca="1" ref="P12" ca="1">IF(IF($A12&lt;&gt;"",$C12&lt;&gt;"OUI"),MAX(IF('Perf.Relais(2)'!$B$3:$B$80=$A12,'Perf.Relais(2)'!$AK$3:$AK$80)),"")</f>
        <v>0</v>
      </c>
      <c r="Q12" s="553">
        <f t="array" aca="1" ref="Q12" ca="1">IF($A12&lt;&gt;"",MAX(IF(Perf.Sprint!$B$4:$B$40=$A12,Perf.Sprint!$T$4:$T$40)),"")</f>
        <v>2</v>
      </c>
      <c r="R12" s="554">
        <f t="array" aca="1" ref="R12" ca="1">IF(AND($A12&lt;&gt;"",C12&lt;&gt;"OUI"),MAX(IF(Perf.Sprint!$B$4:$B$40=$A12,Perf.Sprint!$AF$4:$AF$40)),"")</f>
        <v>2</v>
      </c>
      <c r="S12" s="554">
        <f t="array" aca="1" ref="S12" ca="1">IF(AND($A12&lt;&gt;"",C12&lt;&gt;"OUI"),MAX(IF(Perf.Sprint!$B$4:$B$40=$A12,Perf.Sprint!$AS$4:$AS$40)),"")</f>
        <v>2.5</v>
      </c>
      <c r="T12" s="593">
        <f t="array" aca="1" ref="T12" ca="1">IF(AND($A12&lt;&gt;"",C12&lt;&gt;"OUI"),MAX(IF(Perf.Sprint!$B$4:$B$40=$A12,Perf.Sprint!$BF$4:$BF$40)),"")</f>
        <v>2.75</v>
      </c>
      <c r="U12" s="590">
        <f ca="1">IFERROR(RANK($D12,$D$3:$D$39,0)+COUNTIF(D$3:D12,D12)-1,"")</f>
        <v>14</v>
      </c>
    </row>
    <row r="13" spans="1:21" ht="24" customHeight="1">
      <c r="A13" s="543" t="str">
        <f>IF(Liste!B13&lt;&gt;"",Liste!B13,"")</f>
        <v>K</v>
      </c>
      <c r="B13" s="544" t="str">
        <f>IF(Liste!C13&lt;&gt;"",Liste!C13,"")</f>
        <v>M</v>
      </c>
      <c r="C13" s="6"/>
      <c r="D13" s="546">
        <f t="shared" ca="1" si="0"/>
        <v>17</v>
      </c>
      <c r="E13" s="547" t="s">
        <v>207</v>
      </c>
      <c r="F13" s="548">
        <f>IF(E13&lt;&gt;"",INDEX(Barème!$AK$20:$AK$24,MATCH(E13,Barème!$AL$20:$AL$24,0)),"")</f>
        <v>4</v>
      </c>
      <c r="G13" s="549">
        <f t="shared" ca="1" si="1"/>
        <v>3.8</v>
      </c>
      <c r="H13" s="549">
        <f t="shared" ca="1" si="2"/>
        <v>1.3125</v>
      </c>
      <c r="I13" s="549">
        <f t="shared" ca="1" si="3"/>
        <v>2.375</v>
      </c>
      <c r="J13" s="550">
        <f t="shared" ca="1" si="4"/>
        <v>6</v>
      </c>
      <c r="K13" s="555">
        <f t="array" aca="1" ref="K13" ca="1">IF(AND($A13&lt;&gt;"",C13&lt;&gt;"OUI"),MAX(IF('Perf.Relais(1)'!$B$3:$B$80=$A13,'Perf.Relais(1)'!$AA$3:$AA$80)),"")</f>
        <v>4.75</v>
      </c>
      <c r="L13" s="551">
        <f t="array" aca="1" ref="L13" ca="1">IF(IF($A13&lt;&gt;"",C13&lt;&gt;"OUI"),MAX(IF('Perf.Relais(1)'!$B$3:$B$80=$A13,'Perf.Relais(1)'!$AD$3:$AD$80)),"")</f>
        <v>2.625</v>
      </c>
      <c r="M13" s="552">
        <f t="array" aca="1" ref="M13" ca="1">IF(IF($A13&lt;&gt;"",C13&lt;&gt;"OUI"),MAX(IF('Perf.Relais(1)'!$B$3:$B$80=$A13,'Perf.Relais(1)'!$AK$3:$AK$80)),"")</f>
        <v>6</v>
      </c>
      <c r="N13" s="555">
        <f t="array" aca="1" ref="N13" ca="1">IF(AND($A13&lt;&gt;"",$C13&lt;&gt;"OUI"),MAX(IF('Perf.Relais(2)'!$B$3:$B$80=$A13,'Perf.Relais(2)'!$AA$3:$AA$80)),"")</f>
        <v>0</v>
      </c>
      <c r="O13" s="551">
        <f t="array" aca="1" ref="O13" ca="1">IF(IF($A13&lt;&gt;"",$C13&lt;&gt;"OUI"),MAX(IF('Perf.Relais(2)'!$B$3:$B$80=$A13,'Perf.Relais(2)'!$AD$3:$AD$80)),"")</f>
        <v>0</v>
      </c>
      <c r="P13" s="588">
        <f t="array" aca="1" ref="P13" ca="1">IF(IF($A13&lt;&gt;"",$C13&lt;&gt;"OUI"),MAX(IF('Perf.Relais(2)'!$B$3:$B$80=$A13,'Perf.Relais(2)'!$AK$3:$AK$80)),"")</f>
        <v>0</v>
      </c>
      <c r="Q13" s="553">
        <f t="array" aca="1" ref="Q13" ca="1">IF($A13&lt;&gt;"",MAX(IF(Perf.Sprint!$B$4:$B$40=$A13,Perf.Sprint!$T$4:$T$40)),"")</f>
        <v>4</v>
      </c>
      <c r="R13" s="554">
        <f t="array" aca="1" ref="R13" ca="1">IF(AND($A13&lt;&gt;"",C13&lt;&gt;"OUI"),MAX(IF(Perf.Sprint!$B$4:$B$40=$A13,Perf.Sprint!$AF$4:$AF$40)),"")</f>
        <v>4</v>
      </c>
      <c r="S13" s="554">
        <f t="array" aca="1" ref="S13" ca="1">IF(AND($A13&lt;&gt;"",C13&lt;&gt;"OUI"),MAX(IF(Perf.Sprint!$B$4:$B$40=$A13,Perf.Sprint!$AS$4:$AS$40)),"")</f>
        <v>4.75</v>
      </c>
      <c r="T13" s="593">
        <f t="array" aca="1" ref="T13" ca="1">IF(AND($A13&lt;&gt;"",C13&lt;&gt;"OUI"),MAX(IF(Perf.Sprint!$B$4:$B$40=$A13,Perf.Sprint!$BF$4:$BF$40)),"")</f>
        <v>4.5</v>
      </c>
      <c r="U13" s="590">
        <f ca="1">IFERROR(RANK($D13,$D$3:$D$39,0)+COUNTIF(D$3:D13,D13)-1,"")</f>
        <v>3</v>
      </c>
    </row>
    <row r="14" spans="1:21" ht="24" customHeight="1">
      <c r="A14" s="543" t="str">
        <f>IF(Liste!B14&lt;&gt;"",Liste!B14,"")</f>
        <v>L</v>
      </c>
      <c r="B14" s="544" t="str">
        <f>IF(Liste!C14&lt;&gt;"",Liste!C14,"")</f>
        <v>M</v>
      </c>
      <c r="C14" s="6" t="s">
        <v>239</v>
      </c>
      <c r="D14" s="546" t="str">
        <f t="shared" si="0"/>
        <v>?</v>
      </c>
      <c r="E14" s="547"/>
      <c r="F14" s="548" t="str">
        <f>IF(E14&lt;&gt;"",INDEX(Barème!$AK$20:$AK$24,MATCH(E14,Barème!$AL$20:$AL$24,0)),"")</f>
        <v/>
      </c>
      <c r="G14" s="549" t="str">
        <f t="shared" si="1"/>
        <v/>
      </c>
      <c r="H14" s="549" t="str">
        <f t="shared" si="2"/>
        <v/>
      </c>
      <c r="I14" s="549" t="str">
        <f t="shared" si="3"/>
        <v/>
      </c>
      <c r="J14" s="550" t="str">
        <f t="shared" si="4"/>
        <v/>
      </c>
      <c r="K14" s="555" t="str">
        <f t="array" ref="K14">IF(AND($A14&lt;&gt;"",C14&lt;&gt;"OUI"),MAX(IF('Perf.Relais(1)'!$B$3:$B$80=$A14,'Perf.Relais(1)'!$AA$3:$AA$80)),"")</f>
        <v/>
      </c>
      <c r="L14" s="551" t="str">
        <f t="array" ref="L14">IF(IF($A14&lt;&gt;"",C14&lt;&gt;"OUI"),MAX(IF('Perf.Relais(1)'!$B$3:$B$80=$A14,'Perf.Relais(1)'!$AD$3:$AD$80)),"")</f>
        <v/>
      </c>
      <c r="M14" s="552" t="str">
        <f t="array" ref="M14">IF(IF($A14&lt;&gt;"",C14&lt;&gt;"OUI"),MAX(IF('Perf.Relais(1)'!$B$3:$B$80=$A14,'Perf.Relais(1)'!$AK$3:$AK$80)),"")</f>
        <v/>
      </c>
      <c r="N14" s="555" t="str">
        <f t="array" ref="N14">IF(AND($A14&lt;&gt;"",$C14&lt;&gt;"OUI"),MAX(IF('Perf.Relais(2)'!$B$3:$B$80=$A14,'Perf.Relais(2)'!$AA$3:$AA$80)),"")</f>
        <v/>
      </c>
      <c r="O14" s="551" t="str">
        <f t="array" ref="O14">IF(IF($A14&lt;&gt;"",$C14&lt;&gt;"OUI"),MAX(IF('Perf.Relais(2)'!$B$3:$B$80=$A14,'Perf.Relais(2)'!$AD$3:$AD$80)),"")</f>
        <v/>
      </c>
      <c r="P14" s="588" t="str">
        <f t="array" ref="P14">IF(IF($A14&lt;&gt;"",$C14&lt;&gt;"OUI"),MAX(IF('Perf.Relais(2)'!$B$3:$B$80=$A14,'Perf.Relais(2)'!$AK$3:$AK$80)),"")</f>
        <v/>
      </c>
      <c r="Q14" s="553">
        <f t="array" aca="1" ref="Q14" ca="1">IF($A14&lt;&gt;"",MAX(IF(Perf.Sprint!$B$4:$B$40=$A14,Perf.Sprint!$T$4:$T$40)),"")</f>
        <v>0</v>
      </c>
      <c r="R14" s="554" t="str">
        <f t="array" ref="R14">IF(AND($A14&lt;&gt;"",C14&lt;&gt;"OUI"),MAX(IF(Perf.Sprint!$B$4:$B$40=$A14,Perf.Sprint!$AF$4:$AF$40)),"")</f>
        <v/>
      </c>
      <c r="S14" s="554" t="str">
        <f t="array" ref="S14">IF(AND($A14&lt;&gt;"",C14&lt;&gt;"OUI"),MAX(IF(Perf.Sprint!$B$4:$B$40=$A14,Perf.Sprint!$AS$4:$AS$40)),"")</f>
        <v/>
      </c>
      <c r="T14" s="593" t="str">
        <f t="array" ref="T14">IF(AND($A14&lt;&gt;"",C14&lt;&gt;"OUI"),MAX(IF(Perf.Sprint!$B$4:$B$40=$A14,Perf.Sprint!$BF$4:$BF$40)),"")</f>
        <v/>
      </c>
      <c r="U14" s="590" t="str">
        <f ca="1">IFERROR(RANK($D14,$D$3:$D$39,0)+COUNTIF(D$3:D14,D14)-1,"")</f>
        <v/>
      </c>
    </row>
    <row r="15" spans="1:21" ht="24" customHeight="1">
      <c r="A15" s="543" t="str">
        <f>IF(Liste!B15&lt;&gt;"",Liste!B15,"")</f>
        <v>M</v>
      </c>
      <c r="B15" s="544" t="str">
        <f>IF(Liste!C15&lt;&gt;"",Liste!C15,"")</f>
        <v>F</v>
      </c>
      <c r="C15" s="6" t="s">
        <v>239</v>
      </c>
      <c r="D15" s="546" t="str">
        <f t="shared" si="0"/>
        <v>?</v>
      </c>
      <c r="E15" s="547" t="s">
        <v>207</v>
      </c>
      <c r="F15" s="548">
        <f>IF(E15&lt;&gt;"",INDEX(Barème!$AK$20:$AK$24,MATCH(E15,Barème!$AL$20:$AL$24,0)),"")</f>
        <v>4</v>
      </c>
      <c r="G15" s="549" t="str">
        <f t="shared" si="1"/>
        <v/>
      </c>
      <c r="H15" s="549" t="str">
        <f t="shared" si="2"/>
        <v/>
      </c>
      <c r="I15" s="549" t="str">
        <f t="shared" si="3"/>
        <v/>
      </c>
      <c r="J15" s="550" t="str">
        <f t="shared" si="4"/>
        <v/>
      </c>
      <c r="K15" s="555" t="str">
        <f t="array" ref="K15">IF(AND($A15&lt;&gt;"",C15&lt;&gt;"OUI"),MAX(IF('Perf.Relais(1)'!$B$3:$B$80=$A15,'Perf.Relais(1)'!$AA$3:$AA$80)),"")</f>
        <v/>
      </c>
      <c r="L15" s="551" t="str">
        <f t="array" ref="L15">IF(IF($A15&lt;&gt;"",C15&lt;&gt;"OUI"),MAX(IF('Perf.Relais(1)'!$B$3:$B$80=$A15,'Perf.Relais(1)'!$AD$3:$AD$80)),"")</f>
        <v/>
      </c>
      <c r="M15" s="552" t="str">
        <f t="array" ref="M15">IF(IF($A15&lt;&gt;"",C15&lt;&gt;"OUI"),MAX(IF('Perf.Relais(1)'!$B$3:$B$80=$A15,'Perf.Relais(1)'!$AK$3:$AK$80)),"")</f>
        <v/>
      </c>
      <c r="N15" s="555" t="str">
        <f t="array" ref="N15">IF(AND($A15&lt;&gt;"",$C15&lt;&gt;"OUI"),MAX(IF('Perf.Relais(2)'!$B$3:$B$80=$A15,'Perf.Relais(2)'!$AA$3:$AA$80)),"")</f>
        <v/>
      </c>
      <c r="O15" s="551" t="str">
        <f t="array" ref="O15">IF(IF($A15&lt;&gt;"",$C15&lt;&gt;"OUI"),MAX(IF('Perf.Relais(2)'!$B$3:$B$80=$A15,'Perf.Relais(2)'!$AD$3:$AD$80)),"")</f>
        <v/>
      </c>
      <c r="P15" s="588" t="str">
        <f t="array" ref="P15">IF(IF($A15&lt;&gt;"",$C15&lt;&gt;"OUI"),MAX(IF('Perf.Relais(2)'!$B$3:$B$80=$A15,'Perf.Relais(2)'!$AK$3:$AK$80)),"")</f>
        <v/>
      </c>
      <c r="Q15" s="553">
        <f t="array" aca="1" ref="Q15" ca="1">IF($A15&lt;&gt;"",MAX(IF(Perf.Sprint!$B$4:$B$40=$A15,Perf.Sprint!$T$4:$T$40)),"")</f>
        <v>5</v>
      </c>
      <c r="R15" s="554" t="str">
        <f t="array" ref="R15">IF(AND($A15&lt;&gt;"",C15&lt;&gt;"OUI"),MAX(IF(Perf.Sprint!$B$4:$B$40=$A15,Perf.Sprint!$AF$4:$AF$40)),"")</f>
        <v/>
      </c>
      <c r="S15" s="554" t="str">
        <f t="array" ref="S15">IF(AND($A15&lt;&gt;"",C15&lt;&gt;"OUI"),MAX(IF(Perf.Sprint!$B$4:$B$40=$A15,Perf.Sprint!$AS$4:$AS$40)),"")</f>
        <v/>
      </c>
      <c r="T15" s="593" t="str">
        <f t="array" ref="T15">IF(AND($A15&lt;&gt;"",C15&lt;&gt;"OUI"),MAX(IF(Perf.Sprint!$B$4:$B$40=$A15,Perf.Sprint!$BF$4:$BF$40)),"")</f>
        <v/>
      </c>
      <c r="U15" s="590" t="str">
        <f ca="1">IFERROR(RANK($D15,$D$3:$D$39,0)+COUNTIF(D$3:D15,D15)-1,"")</f>
        <v/>
      </c>
    </row>
    <row r="16" spans="1:21" ht="24" customHeight="1">
      <c r="A16" s="543" t="str">
        <f>IF(Liste!B16&lt;&gt;"",Liste!B16,"")</f>
        <v>N</v>
      </c>
      <c r="B16" s="544" t="str">
        <f>IF(Liste!C16&lt;&gt;"",Liste!C16,"")</f>
        <v>M</v>
      </c>
      <c r="C16" s="6"/>
      <c r="D16" s="546">
        <f t="shared" ca="1" si="0"/>
        <v>15</v>
      </c>
      <c r="E16" s="547" t="s">
        <v>207</v>
      </c>
      <c r="F16" s="548">
        <f>IF(E16&lt;&gt;"",INDEX(Barème!$AK$20:$AK$24,MATCH(E16,Barème!$AL$20:$AL$24,0)),"")</f>
        <v>4</v>
      </c>
      <c r="G16" s="549">
        <f t="shared" ca="1" si="1"/>
        <v>3.6</v>
      </c>
      <c r="H16" s="549">
        <f t="shared" ca="1" si="2"/>
        <v>0</v>
      </c>
      <c r="I16" s="549">
        <f t="shared" ca="1" si="3"/>
        <v>1.5</v>
      </c>
      <c r="J16" s="550">
        <f t="shared" ca="1" si="4"/>
        <v>5.625</v>
      </c>
      <c r="K16" s="555">
        <f t="array" aca="1" ref="K16" ca="1">IF(AND($A16&lt;&gt;"",C16&lt;&gt;"OUI"),MAX(IF('Perf.Relais(1)'!$B$3:$B$80=$A16,'Perf.Relais(1)'!$AA$3:$AA$80)),"")</f>
        <v>3</v>
      </c>
      <c r="L16" s="551">
        <f t="array" aca="1" ref="L16" ca="1">IF(IF($A16&lt;&gt;"",C16&lt;&gt;"OUI"),MAX(IF('Perf.Relais(1)'!$B$3:$B$80=$A16,'Perf.Relais(1)'!$AD$3:$AD$80)),"")</f>
        <v>0</v>
      </c>
      <c r="M16" s="552">
        <f t="array" aca="1" ref="M16" ca="1">IF(IF($A16&lt;&gt;"",C16&lt;&gt;"OUI"),MAX(IF('Perf.Relais(1)'!$B$3:$B$80=$A16,'Perf.Relais(1)'!$AK$3:$AK$80)),"")</f>
        <v>5.625</v>
      </c>
      <c r="N16" s="555">
        <f t="array" aca="1" ref="N16" ca="1">IF(AND($A16&lt;&gt;"",$C16&lt;&gt;"OUI"),MAX(IF('Perf.Relais(2)'!$B$3:$B$80=$A16,'Perf.Relais(2)'!$AA$3:$AA$80)),"")</f>
        <v>0</v>
      </c>
      <c r="O16" s="551">
        <f t="array" aca="1" ref="O16" ca="1">IF(IF($A16&lt;&gt;"",$C16&lt;&gt;"OUI"),MAX(IF('Perf.Relais(2)'!$B$3:$B$80=$A16,'Perf.Relais(2)'!$AD$3:$AD$80)),"")</f>
        <v>0</v>
      </c>
      <c r="P16" s="588">
        <f t="array" aca="1" ref="P16" ca="1">IF(IF($A16&lt;&gt;"",$C16&lt;&gt;"OUI"),MAX(IF('Perf.Relais(2)'!$B$3:$B$80=$A16,'Perf.Relais(2)'!$AK$3:$AK$80)),"")</f>
        <v>0</v>
      </c>
      <c r="Q16" s="553">
        <f t="array" aca="1" ref="Q16" ca="1">IF($A16&lt;&gt;"",MAX(IF(Perf.Sprint!$B$4:$B$40=$A16,Perf.Sprint!$T$4:$T$40)),"")</f>
        <v>3</v>
      </c>
      <c r="R16" s="554">
        <f t="array" aca="1" ref="R16" ca="1">IF(AND($A16&lt;&gt;"",C16&lt;&gt;"OUI"),MAX(IF(Perf.Sprint!$B$4:$B$40=$A16,Perf.Sprint!$AF$4:$AF$40)),"")</f>
        <v>4</v>
      </c>
      <c r="S16" s="554">
        <f t="array" aca="1" ref="S16" ca="1">IF(AND($A16&lt;&gt;"",C16&lt;&gt;"OUI"),MAX(IF(Perf.Sprint!$B$4:$B$40=$A16,Perf.Sprint!$AS$4:$AS$40)),"")</f>
        <v>4.5</v>
      </c>
      <c r="T16" s="593">
        <f t="array" aca="1" ref="T16" ca="1">IF(AND($A16&lt;&gt;"",C16&lt;&gt;"OUI"),MAX(IF(Perf.Sprint!$B$4:$B$40=$A16,Perf.Sprint!$BF$4:$BF$40)),"")</f>
        <v>4.25</v>
      </c>
      <c r="U16" s="590">
        <f ca="1">IFERROR(RANK($D16,$D$3:$D$39,0)+COUNTIF(D$3:D16,D16)-1,"")</f>
        <v>5</v>
      </c>
    </row>
    <row r="17" spans="1:21" ht="24" customHeight="1">
      <c r="A17" s="543" t="str">
        <f>IF(Liste!B17&lt;&gt;"",Liste!B17,"")</f>
        <v>O</v>
      </c>
      <c r="B17" s="544" t="str">
        <f>IF(Liste!C17&lt;&gt;"",Liste!C17,"")</f>
        <v>F</v>
      </c>
      <c r="C17" s="6"/>
      <c r="D17" s="546">
        <f t="shared" ca="1" si="0"/>
        <v>14</v>
      </c>
      <c r="E17" s="547" t="s">
        <v>207</v>
      </c>
      <c r="F17" s="548">
        <f>IF(E17&lt;&gt;"",INDEX(Barème!$AK$20:$AK$24,MATCH(E17,Barème!$AL$20:$AL$24,0)),"")</f>
        <v>4</v>
      </c>
      <c r="G17" s="549">
        <f t="shared" ca="1" si="1"/>
        <v>3.4</v>
      </c>
      <c r="H17" s="549">
        <f t="shared" ca="1" si="2"/>
        <v>0</v>
      </c>
      <c r="I17" s="549">
        <f t="shared" ca="1" si="3"/>
        <v>1.5</v>
      </c>
      <c r="J17" s="550">
        <f t="shared" ca="1" si="4"/>
        <v>4.875</v>
      </c>
      <c r="K17" s="555">
        <f t="array" aca="1" ref="K17" ca="1">IF(AND($A17&lt;&gt;"",C17&lt;&gt;"OUI"),MAX(IF('Perf.Relais(1)'!$B$3:$B$80=$A17,'Perf.Relais(1)'!$AA$3:$AA$80)),"")</f>
        <v>3</v>
      </c>
      <c r="L17" s="551">
        <f t="array" aca="1" ref="L17" ca="1">IF(IF($A17&lt;&gt;"",C17&lt;&gt;"OUI"),MAX(IF('Perf.Relais(1)'!$B$3:$B$80=$A17,'Perf.Relais(1)'!$AD$3:$AD$80)),"")</f>
        <v>0</v>
      </c>
      <c r="M17" s="552">
        <f t="array" aca="1" ref="M17" ca="1">IF(IF($A17&lt;&gt;"",C17&lt;&gt;"OUI"),MAX(IF('Perf.Relais(1)'!$B$3:$B$80=$A17,'Perf.Relais(1)'!$AK$3:$AK$80)),"")</f>
        <v>4.875</v>
      </c>
      <c r="N17" s="555">
        <f t="array" aca="1" ref="N17" ca="1">IF(AND($A17&lt;&gt;"",$C17&lt;&gt;"OUI"),MAX(IF('Perf.Relais(2)'!$B$3:$B$80=$A17,'Perf.Relais(2)'!$AA$3:$AA$80)),"")</f>
        <v>0</v>
      </c>
      <c r="O17" s="551">
        <f t="array" aca="1" ref="O17" ca="1">IF(IF($A17&lt;&gt;"",$C17&lt;&gt;"OUI"),MAX(IF('Perf.Relais(2)'!$B$3:$B$80=$A17,'Perf.Relais(2)'!$AD$3:$AD$80)),"")</f>
        <v>0</v>
      </c>
      <c r="P17" s="588">
        <f t="array" aca="1" ref="P17" ca="1">IF(IF($A17&lt;&gt;"",$C17&lt;&gt;"OUI"),MAX(IF('Perf.Relais(2)'!$B$3:$B$80=$A17,'Perf.Relais(2)'!$AK$3:$AK$80)),"")</f>
        <v>0</v>
      </c>
      <c r="Q17" s="553">
        <f t="array" aca="1" ref="Q17" ca="1">IF($A17&lt;&gt;"",MAX(IF(Perf.Sprint!$B$4:$B$40=$A17,Perf.Sprint!$T$4:$T$40)),"")</f>
        <v>4</v>
      </c>
      <c r="R17" s="554">
        <f t="array" aca="1" ref="R17" ca="1">IF(AND($A17&lt;&gt;"",C17&lt;&gt;"OUI"),MAX(IF(Perf.Sprint!$B$4:$B$40=$A17,Perf.Sprint!$AF$4:$AF$40)),"")</f>
        <v>3</v>
      </c>
      <c r="S17" s="554">
        <f t="array" aca="1" ref="S17" ca="1">IF(AND($A17&lt;&gt;"",C17&lt;&gt;"OUI"),MAX(IF(Perf.Sprint!$B$4:$B$40=$A17,Perf.Sprint!$AS$4:$AS$40)),"")</f>
        <v>4.25</v>
      </c>
      <c r="T17" s="593">
        <f t="array" aca="1" ref="T17" ca="1">IF(AND($A17&lt;&gt;"",C17&lt;&gt;"OUI"),MAX(IF(Perf.Sprint!$B$4:$B$40=$A17,Perf.Sprint!$BF$4:$BF$40)),"")</f>
        <v>3.75</v>
      </c>
      <c r="U17" s="590">
        <f ca="1">IFERROR(RANK($D17,$D$3:$D$39,0)+COUNTIF(D$3:D17,D17)-1,"")</f>
        <v>8</v>
      </c>
    </row>
    <row r="18" spans="1:21" ht="24" customHeight="1">
      <c r="A18" s="543" t="str">
        <f>IF(Liste!B18&lt;&gt;"",Liste!B18,"")</f>
        <v>P</v>
      </c>
      <c r="B18" s="544" t="str">
        <f>IF(Liste!C18&lt;&gt;"",Liste!C18,"")</f>
        <v>M</v>
      </c>
      <c r="C18" s="6" t="s">
        <v>239</v>
      </c>
      <c r="D18" s="546" t="str">
        <f t="shared" si="0"/>
        <v>?</v>
      </c>
      <c r="E18" s="547"/>
      <c r="F18" s="548" t="str">
        <f>IF(E18&lt;&gt;"",INDEX(Barème!$AK$20:$AK$24,MATCH(E18,Barème!$AL$20:$AL$24,0)),"")</f>
        <v/>
      </c>
      <c r="G18" s="549" t="str">
        <f t="shared" si="1"/>
        <v/>
      </c>
      <c r="H18" s="549" t="str">
        <f t="shared" si="2"/>
        <v/>
      </c>
      <c r="I18" s="549" t="str">
        <f t="shared" si="3"/>
        <v/>
      </c>
      <c r="J18" s="550" t="str">
        <f t="shared" si="4"/>
        <v/>
      </c>
      <c r="K18" s="555" t="str">
        <f t="array" ref="K18">IF(AND($A18&lt;&gt;"",C18&lt;&gt;"OUI"),MAX(IF('Perf.Relais(1)'!$B$3:$B$80=$A18,'Perf.Relais(1)'!$AA$3:$AA$80)),"")</f>
        <v/>
      </c>
      <c r="L18" s="551" t="str">
        <f t="array" ref="L18">IF(IF($A18&lt;&gt;"",C18&lt;&gt;"OUI"),MAX(IF('Perf.Relais(1)'!$B$3:$B$80=$A18,'Perf.Relais(1)'!$AD$3:$AD$80)),"")</f>
        <v/>
      </c>
      <c r="M18" s="552" t="str">
        <f t="array" ref="M18">IF(IF($A18&lt;&gt;"",C18&lt;&gt;"OUI"),MAX(IF('Perf.Relais(1)'!$B$3:$B$80=$A18,'Perf.Relais(1)'!$AK$3:$AK$80)),"")</f>
        <v/>
      </c>
      <c r="N18" s="555" t="str">
        <f t="array" ref="N18">IF(AND($A18&lt;&gt;"",$C18&lt;&gt;"OUI"),MAX(IF('Perf.Relais(2)'!$B$3:$B$80=$A18,'Perf.Relais(2)'!$AA$3:$AA$80)),"")</f>
        <v/>
      </c>
      <c r="O18" s="551" t="str">
        <f t="array" ref="O18">IF(IF($A18&lt;&gt;"",$C18&lt;&gt;"OUI"),MAX(IF('Perf.Relais(2)'!$B$3:$B$80=$A18,'Perf.Relais(2)'!$AD$3:$AD$80)),"")</f>
        <v/>
      </c>
      <c r="P18" s="588" t="str">
        <f t="array" ref="P18">IF(IF($A18&lt;&gt;"",$C18&lt;&gt;"OUI"),MAX(IF('Perf.Relais(2)'!$B$3:$B$80=$A18,'Perf.Relais(2)'!$AK$3:$AK$80)),"")</f>
        <v/>
      </c>
      <c r="Q18" s="553">
        <f t="array" aca="1" ref="Q18" ca="1">IF($A18&lt;&gt;"",MAX(IF(Perf.Sprint!$B$4:$B$40=$A18,Perf.Sprint!$T$4:$T$40)),"")</f>
        <v>0</v>
      </c>
      <c r="R18" s="554" t="str">
        <f t="array" ref="R18">IF(AND($A18&lt;&gt;"",C18&lt;&gt;"OUI"),MAX(IF(Perf.Sprint!$B$4:$B$40=$A18,Perf.Sprint!$AF$4:$AF$40)),"")</f>
        <v/>
      </c>
      <c r="S18" s="554" t="str">
        <f t="array" ref="S18">IF(AND($A18&lt;&gt;"",C18&lt;&gt;"OUI"),MAX(IF(Perf.Sprint!$B$4:$B$40=$A18,Perf.Sprint!$AS$4:$AS$40)),"")</f>
        <v/>
      </c>
      <c r="T18" s="593" t="str">
        <f t="array" ref="T18">IF(AND($A18&lt;&gt;"",C18&lt;&gt;"OUI"),MAX(IF(Perf.Sprint!$B$4:$B$40=$A18,Perf.Sprint!$BF$4:$BF$40)),"")</f>
        <v/>
      </c>
      <c r="U18" s="590" t="str">
        <f ca="1">IFERROR(RANK($D18,$D$3:$D$39,0)+COUNTIF(D$3:D18,D18)-1,"")</f>
        <v/>
      </c>
    </row>
    <row r="19" spans="1:21" ht="24" customHeight="1">
      <c r="A19" s="543" t="str">
        <f>IF(Liste!B19&lt;&gt;"",Liste!B19,"")</f>
        <v>Q</v>
      </c>
      <c r="B19" s="544" t="str">
        <f>IF(Liste!C19&lt;&gt;"",Liste!C19,"")</f>
        <v>F</v>
      </c>
      <c r="C19" s="6"/>
      <c r="D19" s="546">
        <f t="shared" ca="1" si="0"/>
        <v>14</v>
      </c>
      <c r="E19" s="547" t="s">
        <v>207</v>
      </c>
      <c r="F19" s="548">
        <f>IF(E19&lt;&gt;"",INDEX(Barème!$AK$20:$AK$24,MATCH(E19,Barème!$AL$20:$AL$24,0)),"")</f>
        <v>4</v>
      </c>
      <c r="G19" s="549">
        <f t="shared" ca="1" si="1"/>
        <v>4</v>
      </c>
      <c r="H19" s="549">
        <f t="shared" ca="1" si="2"/>
        <v>0.375</v>
      </c>
      <c r="I19" s="549">
        <f t="shared" ca="1" si="3"/>
        <v>2.125</v>
      </c>
      <c r="J19" s="550">
        <f t="shared" ca="1" si="4"/>
        <v>3.75</v>
      </c>
      <c r="K19" s="555">
        <f t="array" aca="1" ref="K19" ca="1">IF(AND($A19&lt;&gt;"",C19&lt;&gt;"OUI"),MAX(IF('Perf.Relais(1)'!$B$3:$B$80=$A19,'Perf.Relais(1)'!$AA$3:$AA$80)),"")</f>
        <v>4.25</v>
      </c>
      <c r="L19" s="551">
        <f t="array" aca="1" ref="L19" ca="1">IF(IF($A19&lt;&gt;"",C19&lt;&gt;"OUI"),MAX(IF('Perf.Relais(1)'!$B$3:$B$80=$A19,'Perf.Relais(1)'!$AD$3:$AD$80)),"")</f>
        <v>0.75</v>
      </c>
      <c r="M19" s="552">
        <f t="array" aca="1" ref="M19" ca="1">IF(IF($A19&lt;&gt;"",C19&lt;&gt;"OUI"),MAX(IF('Perf.Relais(1)'!$B$3:$B$80=$A19,'Perf.Relais(1)'!$AK$3:$AK$80)),"")</f>
        <v>3.75</v>
      </c>
      <c r="N19" s="555">
        <f t="array" aca="1" ref="N19" ca="1">IF(AND($A19&lt;&gt;"",$C19&lt;&gt;"OUI"),MAX(IF('Perf.Relais(2)'!$B$3:$B$80=$A19,'Perf.Relais(2)'!$AA$3:$AA$80)),"")</f>
        <v>0</v>
      </c>
      <c r="O19" s="551">
        <f t="array" aca="1" ref="O19" ca="1">IF(IF($A19&lt;&gt;"",$C19&lt;&gt;"OUI"),MAX(IF('Perf.Relais(2)'!$B$3:$B$80=$A19,'Perf.Relais(2)'!$AD$3:$AD$80)),"")</f>
        <v>0</v>
      </c>
      <c r="P19" s="588">
        <f t="array" aca="1" ref="P19" ca="1">IF(IF($A19&lt;&gt;"",$C19&lt;&gt;"OUI"),MAX(IF('Perf.Relais(2)'!$B$3:$B$80=$A19,'Perf.Relais(2)'!$AK$3:$AK$80)),"")</f>
        <v>0</v>
      </c>
      <c r="Q19" s="553">
        <f t="array" aca="1" ref="Q19" ca="1">IF($A19&lt;&gt;"",MAX(IF(Perf.Sprint!$B$4:$B$40=$A19,Perf.Sprint!$T$4:$T$40)),"")</f>
        <v>5</v>
      </c>
      <c r="R19" s="554">
        <f t="array" aca="1" ref="R19" ca="1">IF(AND($A19&lt;&gt;"",C19&lt;&gt;"OUI"),MAX(IF(Perf.Sprint!$B$4:$B$40=$A19,Perf.Sprint!$AF$4:$AF$40)),"")</f>
        <v>5</v>
      </c>
      <c r="S19" s="554">
        <f t="array" aca="1" ref="S19" ca="1">IF(AND($A19&lt;&gt;"",C19&lt;&gt;"OUI"),MAX(IF(Perf.Sprint!$B$4:$B$40=$A19,Perf.Sprint!$AS$4:$AS$40)),"")</f>
        <v>5</v>
      </c>
      <c r="T19" s="593">
        <f t="array" aca="1" ref="T19" ca="1">IF(AND($A19&lt;&gt;"",C19&lt;&gt;"OUI"),MAX(IF(Perf.Sprint!$B$4:$B$40=$A19,Perf.Sprint!$BF$4:$BF$40)),"")</f>
        <v>4.5</v>
      </c>
      <c r="U19" s="590">
        <f ca="1">IFERROR(RANK($D19,$D$3:$D$39,0)+COUNTIF(D$3:D19,D19)-1,"")</f>
        <v>9</v>
      </c>
    </row>
    <row r="20" spans="1:21" ht="24" customHeight="1">
      <c r="A20" s="543" t="str">
        <f>IF(Liste!B20&lt;&gt;"",Liste!B20,"")</f>
        <v>R</v>
      </c>
      <c r="B20" s="544" t="str">
        <f>IF(Liste!C20&lt;&gt;"",Liste!C20,"")</f>
        <v>F</v>
      </c>
      <c r="C20" s="6"/>
      <c r="D20" s="546">
        <f t="shared" ca="1" si="0"/>
        <v>12</v>
      </c>
      <c r="E20" s="547" t="s">
        <v>48</v>
      </c>
      <c r="F20" s="548">
        <f>IF(E20&lt;&gt;"",INDEX(Barème!$AK$20:$AK$24,MATCH(E20,Barème!$AL$20:$AL$24,0)),"")</f>
        <v>2</v>
      </c>
      <c r="G20" s="549">
        <f t="shared" ca="1" si="1"/>
        <v>4</v>
      </c>
      <c r="H20" s="549">
        <f t="shared" ca="1" si="2"/>
        <v>0</v>
      </c>
      <c r="I20" s="549">
        <f t="shared" ca="1" si="3"/>
        <v>1.5</v>
      </c>
      <c r="J20" s="550">
        <f t="shared" ca="1" si="4"/>
        <v>4.5</v>
      </c>
      <c r="K20" s="555">
        <f t="array" aca="1" ref="K20" ca="1">IF(AND($A20&lt;&gt;"",C20&lt;&gt;"OUI"),MAX(IF('Perf.Relais(1)'!$B$3:$B$80=$A20,'Perf.Relais(1)'!$AA$3:$AA$80)),"")</f>
        <v>3</v>
      </c>
      <c r="L20" s="551">
        <f t="array" aca="1" ref="L20" ca="1">IF(IF($A20&lt;&gt;"",C20&lt;&gt;"OUI"),MAX(IF('Perf.Relais(1)'!$B$3:$B$80=$A20,'Perf.Relais(1)'!$AD$3:$AD$80)),"")</f>
        <v>0</v>
      </c>
      <c r="M20" s="552">
        <f t="array" aca="1" ref="M20" ca="1">IF(IF($A20&lt;&gt;"",C20&lt;&gt;"OUI"),MAX(IF('Perf.Relais(1)'!$B$3:$B$80=$A20,'Perf.Relais(1)'!$AK$3:$AK$80)),"")</f>
        <v>4.5</v>
      </c>
      <c r="N20" s="555">
        <f t="array" aca="1" ref="N20" ca="1">IF(AND($A20&lt;&gt;"",$C20&lt;&gt;"OUI"),MAX(IF('Perf.Relais(2)'!$B$3:$B$80=$A20,'Perf.Relais(2)'!$AA$3:$AA$80)),"")</f>
        <v>0</v>
      </c>
      <c r="O20" s="551">
        <f t="array" aca="1" ref="O20" ca="1">IF(IF($A20&lt;&gt;"",$C20&lt;&gt;"OUI"),MAX(IF('Perf.Relais(2)'!$B$3:$B$80=$A20,'Perf.Relais(2)'!$AD$3:$AD$80)),"")</f>
        <v>0</v>
      </c>
      <c r="P20" s="588">
        <f t="array" aca="1" ref="P20" ca="1">IF(IF($A20&lt;&gt;"",$C20&lt;&gt;"OUI"),MAX(IF('Perf.Relais(2)'!$B$3:$B$80=$A20,'Perf.Relais(2)'!$AK$3:$AK$80)),"")</f>
        <v>0</v>
      </c>
      <c r="Q20" s="553">
        <f t="array" aca="1" ref="Q20" ca="1">IF($A20&lt;&gt;"",MAX(IF(Perf.Sprint!$B$4:$B$40=$A20,Perf.Sprint!$T$4:$T$40)),"")</f>
        <v>5</v>
      </c>
      <c r="R20" s="554">
        <f t="array" aca="1" ref="R20" ca="1">IF(AND($A20&lt;&gt;"",C20&lt;&gt;"OUI"),MAX(IF(Perf.Sprint!$B$4:$B$40=$A20,Perf.Sprint!$AF$4:$AF$40)),"")</f>
        <v>5</v>
      </c>
      <c r="S20" s="554">
        <f t="array" aca="1" ref="S20" ca="1">IF(AND($A20&lt;&gt;"",C20&lt;&gt;"OUI"),MAX(IF(Perf.Sprint!$B$4:$B$40=$A20,Perf.Sprint!$AS$4:$AS$40)),"")</f>
        <v>5</v>
      </c>
      <c r="T20" s="593">
        <f t="array" aca="1" ref="T20" ca="1">IF(AND($A20&lt;&gt;"",C20&lt;&gt;"OUI"),MAX(IF(Perf.Sprint!$B$4:$B$40=$A20,Perf.Sprint!$BF$4:$BF$40)),"")</f>
        <v>4.5</v>
      </c>
      <c r="U20" s="590">
        <f ca="1">IFERROR(RANK($D20,$D$3:$D$39,0)+COUNTIF(D$3:D20,D20)-1,"")</f>
        <v>15</v>
      </c>
    </row>
    <row r="21" spans="1:21" ht="24" customHeight="1">
      <c r="A21" s="543" t="str">
        <f>IF(Liste!B21&lt;&gt;"",Liste!B21,"")</f>
        <v>S</v>
      </c>
      <c r="B21" s="544" t="str">
        <f>IF(Liste!C21&lt;&gt;"",Liste!C21,"")</f>
        <v>F</v>
      </c>
      <c r="C21" s="6" t="s">
        <v>238</v>
      </c>
      <c r="D21" s="546">
        <f t="shared" ca="1" si="0"/>
        <v>0</v>
      </c>
      <c r="E21" s="547" t="s">
        <v>46</v>
      </c>
      <c r="F21" s="548">
        <f>IF(E21&lt;&gt;"",INDEX(Barème!$AK$20:$AK$24,MATCH(E21,Barème!$AL$20:$AL$24,0)),"")</f>
        <v>0</v>
      </c>
      <c r="G21" s="549">
        <f t="shared" ca="1" si="1"/>
        <v>0</v>
      </c>
      <c r="H21" s="549">
        <f t="shared" ca="1" si="2"/>
        <v>0</v>
      </c>
      <c r="I21" s="549">
        <f t="shared" ca="1" si="3"/>
        <v>0</v>
      </c>
      <c r="J21" s="550">
        <f t="shared" ca="1" si="4"/>
        <v>0</v>
      </c>
      <c r="K21" s="555">
        <f t="array" aca="1" ref="K21" ca="1">IF(AND($A21&lt;&gt;"",C21&lt;&gt;"OUI"),MAX(IF('Perf.Relais(1)'!$B$3:$B$80=$A21,'Perf.Relais(1)'!$AA$3:$AA$80)),"")</f>
        <v>0</v>
      </c>
      <c r="L21" s="551">
        <f t="array" aca="1" ref="L21" ca="1">IF(IF($A21&lt;&gt;"",C21&lt;&gt;"OUI"),MAX(IF('Perf.Relais(1)'!$B$3:$B$80=$A21,'Perf.Relais(1)'!$AD$3:$AD$80)),"")</f>
        <v>0</v>
      </c>
      <c r="M21" s="552">
        <f t="array" aca="1" ref="M21" ca="1">IF(IF($A21&lt;&gt;"",C21&lt;&gt;"OUI"),MAX(IF('Perf.Relais(1)'!$B$3:$B$80=$A21,'Perf.Relais(1)'!$AK$3:$AK$80)),"")</f>
        <v>0</v>
      </c>
      <c r="N21" s="555">
        <f t="array" aca="1" ref="N21" ca="1">IF(AND($A21&lt;&gt;"",$C21&lt;&gt;"OUI"),MAX(IF('Perf.Relais(2)'!$B$3:$B$80=$A21,'Perf.Relais(2)'!$AA$3:$AA$80)),"")</f>
        <v>0</v>
      </c>
      <c r="O21" s="551">
        <f t="array" aca="1" ref="O21" ca="1">IF(IF($A21&lt;&gt;"",$C21&lt;&gt;"OUI"),MAX(IF('Perf.Relais(2)'!$B$3:$B$80=$A21,'Perf.Relais(2)'!$AD$3:$AD$80)),"")</f>
        <v>0</v>
      </c>
      <c r="P21" s="588">
        <f t="array" aca="1" ref="P21" ca="1">IF(IF($A21&lt;&gt;"",$C21&lt;&gt;"OUI"),MAX(IF('Perf.Relais(2)'!$B$3:$B$80=$A21,'Perf.Relais(2)'!$AK$3:$AK$80)),"")</f>
        <v>0</v>
      </c>
      <c r="Q21" s="553">
        <f t="array" aca="1" ref="Q21" ca="1">IF($A21&lt;&gt;"",MAX(IF(Perf.Sprint!$B$4:$B$40=$A21,Perf.Sprint!$T$4:$T$40)),"")</f>
        <v>0</v>
      </c>
      <c r="R21" s="554">
        <f t="array" aca="1" ref="R21" ca="1">IF(AND($A21&lt;&gt;"",C21&lt;&gt;"OUI"),MAX(IF(Perf.Sprint!$B$4:$B$40=$A21,Perf.Sprint!$AF$4:$AF$40)),"")</f>
        <v>0</v>
      </c>
      <c r="S21" s="554">
        <f t="array" aca="1" ref="S21" ca="1">IF(AND($A21&lt;&gt;"",C21&lt;&gt;"OUI"),MAX(IF(Perf.Sprint!$B$4:$B$40=$A21,Perf.Sprint!$AS$4:$AS$40)),"")</f>
        <v>0</v>
      </c>
      <c r="T21" s="593">
        <f t="array" aca="1" ref="T21" ca="1">IF(AND($A21&lt;&gt;"",C21&lt;&gt;"OUI"),MAX(IF(Perf.Sprint!$B$4:$B$40=$A21,Perf.Sprint!$BF$4:$BF$40)),"")</f>
        <v>0</v>
      </c>
      <c r="U21" s="590">
        <f ca="1">IFERROR(RANK($D21,$D$3:$D$39,0)+COUNTIF(D$3:D21,D21)-1,"")</f>
        <v>18</v>
      </c>
    </row>
    <row r="22" spans="1:21" ht="24" customHeight="1">
      <c r="A22" s="543" t="str">
        <f>IF(Liste!B22&lt;&gt;"",Liste!B22,"")</f>
        <v>T</v>
      </c>
      <c r="B22" s="544" t="str">
        <f>IF(Liste!C22&lt;&gt;"",Liste!C22,"")</f>
        <v>F</v>
      </c>
      <c r="C22" s="6"/>
      <c r="D22" s="546">
        <f t="shared" ca="1" si="0"/>
        <v>9</v>
      </c>
      <c r="E22" s="547" t="s">
        <v>47</v>
      </c>
      <c r="F22" s="548">
        <f>IF(E22&lt;&gt;"",INDEX(Barème!$AK$20:$AK$24,MATCH(E22,Barème!$AL$20:$AL$24,0)),"")</f>
        <v>1</v>
      </c>
      <c r="G22" s="549">
        <f t="shared" ca="1" si="1"/>
        <v>2.4</v>
      </c>
      <c r="H22" s="549">
        <f t="shared" ca="1" si="2"/>
        <v>0</v>
      </c>
      <c r="I22" s="549">
        <f t="shared" ca="1" si="3"/>
        <v>1.5</v>
      </c>
      <c r="J22" s="550">
        <f t="shared" ca="1" si="4"/>
        <v>3.75</v>
      </c>
      <c r="K22" s="555">
        <f t="array" aca="1" ref="K22" ca="1">IF(AND($A22&lt;&gt;"",C22&lt;&gt;"OUI"),MAX(IF('Perf.Relais(1)'!$B$3:$B$80=$A22,'Perf.Relais(1)'!$AA$3:$AA$80)),"")</f>
        <v>3</v>
      </c>
      <c r="L22" s="551">
        <f t="array" aca="1" ref="L22" ca="1">IF(IF($A22&lt;&gt;"",C22&lt;&gt;"OUI"),MAX(IF('Perf.Relais(1)'!$B$3:$B$80=$A22,'Perf.Relais(1)'!$AD$3:$AD$80)),"")</f>
        <v>0</v>
      </c>
      <c r="M22" s="552">
        <f t="array" aca="1" ref="M22" ca="1">IF(IF($A22&lt;&gt;"",C22&lt;&gt;"OUI"),MAX(IF('Perf.Relais(1)'!$B$3:$B$80=$A22,'Perf.Relais(1)'!$AK$3:$AK$80)),"")</f>
        <v>3.75</v>
      </c>
      <c r="N22" s="555">
        <f t="array" aca="1" ref="N22" ca="1">IF(AND($A22&lt;&gt;"",$C22&lt;&gt;"OUI"),MAX(IF('Perf.Relais(2)'!$B$3:$B$80=$A22,'Perf.Relais(2)'!$AA$3:$AA$80)),"")</f>
        <v>0</v>
      </c>
      <c r="O22" s="551">
        <f t="array" aca="1" ref="O22" ca="1">IF(IF($A22&lt;&gt;"",$C22&lt;&gt;"OUI"),MAX(IF('Perf.Relais(2)'!$B$3:$B$80=$A22,'Perf.Relais(2)'!$AD$3:$AD$80)),"")</f>
        <v>0</v>
      </c>
      <c r="P22" s="588">
        <f t="array" aca="1" ref="P22" ca="1">IF(IF($A22&lt;&gt;"",$C22&lt;&gt;"OUI"),MAX(IF('Perf.Relais(2)'!$B$3:$B$80=$A22,'Perf.Relais(2)'!$AK$3:$AK$80)),"")</f>
        <v>0</v>
      </c>
      <c r="Q22" s="553">
        <f t="array" aca="1" ref="Q22" ca="1">IF($A22&lt;&gt;"",MAX(IF(Perf.Sprint!$B$4:$B$40=$A22,Perf.Sprint!$T$4:$T$40)),"")</f>
        <v>4</v>
      </c>
      <c r="R22" s="554">
        <f t="array" aca="1" ref="R22" ca="1">IF(AND($A22&lt;&gt;"",C22&lt;&gt;"OUI"),MAX(IF(Perf.Sprint!$B$4:$B$40=$A22,Perf.Sprint!$AF$4:$AF$40)),"")</f>
        <v>3</v>
      </c>
      <c r="S22" s="554">
        <f t="array" aca="1" ref="S22" ca="1">IF(AND($A22&lt;&gt;"",C22&lt;&gt;"OUI"),MAX(IF(Perf.Sprint!$B$4:$B$40=$A22,Perf.Sprint!$AS$4:$AS$40)),"")</f>
        <v>3</v>
      </c>
      <c r="T22" s="593">
        <f t="array" aca="1" ref="T22" ca="1">IF(AND($A22&lt;&gt;"",C22&lt;&gt;"OUI"),MAX(IF(Perf.Sprint!$B$4:$B$40=$A22,Perf.Sprint!$BF$4:$BF$40)),"")</f>
        <v>2.75</v>
      </c>
      <c r="U22" s="590">
        <f ca="1">IFERROR(RANK($D22,$D$3:$D$39,0)+COUNTIF(D$3:D22,D22)-1,"")</f>
        <v>17</v>
      </c>
    </row>
    <row r="23" spans="1:21" ht="24" customHeight="1">
      <c r="A23" s="543" t="str">
        <f>IF(Liste!B23&lt;&gt;"",Liste!B23,"")</f>
        <v>U</v>
      </c>
      <c r="B23" s="544" t="str">
        <f>IF(Liste!C23&lt;&gt;"",Liste!C23,"")</f>
        <v>F</v>
      </c>
      <c r="C23" s="6"/>
      <c r="D23" s="546">
        <f t="shared" ca="1" si="0"/>
        <v>11</v>
      </c>
      <c r="E23" s="547" t="s">
        <v>207</v>
      </c>
      <c r="F23" s="548">
        <f>IF(E23&lt;&gt;"",INDEX(Barème!$AK$20:$AK$24,MATCH(E23,Barème!$AL$20:$AL$24,0)),"")</f>
        <v>4</v>
      </c>
      <c r="G23" s="549">
        <f t="shared" ca="1" si="1"/>
        <v>2.6</v>
      </c>
      <c r="H23" s="549">
        <f t="shared" ca="1" si="2"/>
        <v>0</v>
      </c>
      <c r="I23" s="549">
        <f t="shared" ca="1" si="3"/>
        <v>0.875</v>
      </c>
      <c r="J23" s="550">
        <f t="shared" ca="1" si="4"/>
        <v>3.5625</v>
      </c>
      <c r="K23" s="555">
        <f t="array" aca="1" ref="K23" ca="1">IF(AND($A23&lt;&gt;"",C23&lt;&gt;"OUI"),MAX(IF('Perf.Relais(1)'!$B$3:$B$80=$A23,'Perf.Relais(1)'!$AA$3:$AA$80)),"")</f>
        <v>1.75</v>
      </c>
      <c r="L23" s="551">
        <f t="array" aca="1" ref="L23" ca="1">IF(IF($A23&lt;&gt;"",C23&lt;&gt;"OUI"),MAX(IF('Perf.Relais(1)'!$B$3:$B$80=$A23,'Perf.Relais(1)'!$AD$3:$AD$80)),"")</f>
        <v>0</v>
      </c>
      <c r="M23" s="552">
        <f t="array" aca="1" ref="M23" ca="1">IF(IF($A23&lt;&gt;"",C23&lt;&gt;"OUI"),MAX(IF('Perf.Relais(1)'!$B$3:$B$80=$A23,'Perf.Relais(1)'!$AK$3:$AK$80)),"")</f>
        <v>3.5625</v>
      </c>
      <c r="N23" s="555">
        <f t="array" aca="1" ref="N23" ca="1">IF(AND($A23&lt;&gt;"",$C23&lt;&gt;"OUI"),MAX(IF('Perf.Relais(2)'!$B$3:$B$80=$A23,'Perf.Relais(2)'!$AA$3:$AA$80)),"")</f>
        <v>0</v>
      </c>
      <c r="O23" s="551">
        <f t="array" aca="1" ref="O23" ca="1">IF(IF($A23&lt;&gt;"",$C23&lt;&gt;"OUI"),MAX(IF('Perf.Relais(2)'!$B$3:$B$80=$A23,'Perf.Relais(2)'!$AD$3:$AD$80)),"")</f>
        <v>0</v>
      </c>
      <c r="P23" s="588">
        <f t="array" aca="1" ref="P23" ca="1">IF(IF($A23&lt;&gt;"",$C23&lt;&gt;"OUI"),MAX(IF('Perf.Relais(2)'!$B$3:$B$80=$A23,'Perf.Relais(2)'!$AK$3:$AK$80)),"")</f>
        <v>0</v>
      </c>
      <c r="Q23" s="553">
        <f t="array" aca="1" ref="Q23" ca="1">IF($A23&lt;&gt;"",MAX(IF(Perf.Sprint!$B$4:$B$40=$A23,Perf.Sprint!$T$4:$T$40)),"")</f>
        <v>3</v>
      </c>
      <c r="R23" s="554">
        <f t="array" aca="1" ref="R23" ca="1">IF(AND($A23&lt;&gt;"",C23&lt;&gt;"OUI"),MAX(IF(Perf.Sprint!$B$4:$B$40=$A23,Perf.Sprint!$AF$4:$AF$40)),"")</f>
        <v>3</v>
      </c>
      <c r="S23" s="554">
        <f t="array" aca="1" ref="S23" ca="1">IF(AND($A23&lt;&gt;"",C23&lt;&gt;"OUI"),MAX(IF(Perf.Sprint!$B$4:$B$40=$A23,Perf.Sprint!$AS$4:$AS$40)),"")</f>
        <v>3.25</v>
      </c>
      <c r="T23" s="593">
        <f t="array" aca="1" ref="T23" ca="1">IF(AND($A23&lt;&gt;"",C23&lt;&gt;"OUI"),MAX(IF(Perf.Sprint!$B$4:$B$40=$A23,Perf.Sprint!$BF$4:$BF$40)),"")</f>
        <v>2.75</v>
      </c>
      <c r="U23" s="590">
        <f ca="1">IFERROR(RANK($D23,$D$3:$D$39,0)+COUNTIF(D$3:D23,D23)-1,"")</f>
        <v>16</v>
      </c>
    </row>
    <row r="24" spans="1:21" ht="24" customHeight="1">
      <c r="A24" s="543" t="str">
        <f>IF(Liste!B24&lt;&gt;"",Liste!B24,"")</f>
        <v>V</v>
      </c>
      <c r="B24" s="544" t="str">
        <f>IF(Liste!C24&lt;&gt;"",Liste!C24,"")</f>
        <v>F</v>
      </c>
      <c r="C24" s="6"/>
      <c r="D24" s="546">
        <f t="shared" ca="1" si="0"/>
        <v>17</v>
      </c>
      <c r="E24" s="547" t="s">
        <v>207</v>
      </c>
      <c r="F24" s="548">
        <f>IF(E24&lt;&gt;"",INDEX(Barème!$AK$20:$AK$24,MATCH(E24,Barème!$AL$20:$AL$24,0)),"")</f>
        <v>4</v>
      </c>
      <c r="G24" s="549">
        <f t="shared" ca="1" si="1"/>
        <v>3.6</v>
      </c>
      <c r="H24" s="549">
        <f t="shared" ca="1" si="2"/>
        <v>1.3125</v>
      </c>
      <c r="I24" s="549">
        <f t="shared" ca="1" si="3"/>
        <v>2.375</v>
      </c>
      <c r="J24" s="550">
        <f t="shared" ca="1" si="4"/>
        <v>6</v>
      </c>
      <c r="K24" s="555">
        <f t="array" aca="1" ref="K24" ca="1">IF(AND($A24&lt;&gt;"",C24&lt;&gt;"OUI"),MAX(IF('Perf.Relais(1)'!$B$3:$B$80=$A24,'Perf.Relais(1)'!$AA$3:$AA$80)),"")</f>
        <v>4.75</v>
      </c>
      <c r="L24" s="551">
        <f t="array" aca="1" ref="L24" ca="1">IF(IF($A24&lt;&gt;"",C24&lt;&gt;"OUI"),MAX(IF('Perf.Relais(1)'!$B$3:$B$80=$A24,'Perf.Relais(1)'!$AD$3:$AD$80)),"")</f>
        <v>2.625</v>
      </c>
      <c r="M24" s="552">
        <f t="array" aca="1" ref="M24" ca="1">IF(IF($A24&lt;&gt;"",C24&lt;&gt;"OUI"),MAX(IF('Perf.Relais(1)'!$B$3:$B$80=$A24,'Perf.Relais(1)'!$AK$3:$AK$80)),"")</f>
        <v>6</v>
      </c>
      <c r="N24" s="555">
        <f t="array" aca="1" ref="N24" ca="1">IF(AND($A24&lt;&gt;"",$C24&lt;&gt;"OUI"),MAX(IF('Perf.Relais(2)'!$B$3:$B$80=$A24,'Perf.Relais(2)'!$AA$3:$AA$80)),"")</f>
        <v>0</v>
      </c>
      <c r="O24" s="551">
        <f t="array" aca="1" ref="O24" ca="1">IF(IF($A24&lt;&gt;"",$C24&lt;&gt;"OUI"),MAX(IF('Perf.Relais(2)'!$B$3:$B$80=$A24,'Perf.Relais(2)'!$AD$3:$AD$80)),"")</f>
        <v>0</v>
      </c>
      <c r="P24" s="588">
        <f t="array" aca="1" ref="P24" ca="1">IF(IF($A24&lt;&gt;"",$C24&lt;&gt;"OUI"),MAX(IF('Perf.Relais(2)'!$B$3:$B$80=$A24,'Perf.Relais(2)'!$AK$3:$AK$80)),"")</f>
        <v>0</v>
      </c>
      <c r="Q24" s="553">
        <f t="array" aca="1" ref="Q24" ca="1">IF($A24&lt;&gt;"",MAX(IF(Perf.Sprint!$B$4:$B$40=$A24,Perf.Sprint!$T$4:$T$40)),"")</f>
        <v>4</v>
      </c>
      <c r="R24" s="554">
        <f t="array" aca="1" ref="R24" ca="1">IF(AND($A24&lt;&gt;"",C24&lt;&gt;"OUI"),MAX(IF(Perf.Sprint!$B$4:$B$40=$A24,Perf.Sprint!$AF$4:$AF$40)),"")</f>
        <v>4</v>
      </c>
      <c r="S24" s="554">
        <f t="array" aca="1" ref="S24" ca="1">IF(AND($A24&lt;&gt;"",C24&lt;&gt;"OUI"),MAX(IF(Perf.Sprint!$B$4:$B$40=$A24,Perf.Sprint!$AS$4:$AS$40)),"")</f>
        <v>4.5</v>
      </c>
      <c r="T24" s="593">
        <f t="array" aca="1" ref="T24" ca="1">IF(AND($A24&lt;&gt;"",C24&lt;&gt;"OUI"),MAX(IF(Perf.Sprint!$B$4:$B$40=$A24,Perf.Sprint!$BF$4:$BF$40)),"")</f>
        <v>4</v>
      </c>
      <c r="U24" s="590">
        <f ca="1">IFERROR(RANK($D24,$D$3:$D$39,0)+COUNTIF(D$3:D24,D24)-1,"")</f>
        <v>4</v>
      </c>
    </row>
    <row r="25" spans="1:21" ht="24" customHeight="1">
      <c r="A25" s="543" t="str">
        <f>IF(Liste!B25&lt;&gt;"",Liste!B25,"")</f>
        <v>W</v>
      </c>
      <c r="B25" s="544" t="str">
        <f>IF(Liste!C25&lt;&gt;"",Liste!C25,"")</f>
        <v>F</v>
      </c>
      <c r="C25" s="6"/>
      <c r="D25" s="546" t="str">
        <f t="shared" ca="1" si="0"/>
        <v>?</v>
      </c>
      <c r="E25" s="547"/>
      <c r="F25" s="548" t="str">
        <f>IF(E25&lt;&gt;"",INDEX(Barème!$AK$20:$AK$24,MATCH(E25,Barème!$AL$20:$AL$24,0)),"")</f>
        <v/>
      </c>
      <c r="G25" s="549">
        <f t="shared" ca="1" si="1"/>
        <v>0</v>
      </c>
      <c r="H25" s="549">
        <f t="shared" ca="1" si="2"/>
        <v>0</v>
      </c>
      <c r="I25" s="549">
        <f t="shared" ca="1" si="3"/>
        <v>0</v>
      </c>
      <c r="J25" s="550">
        <f t="shared" ca="1" si="4"/>
        <v>0</v>
      </c>
      <c r="K25" s="555">
        <f t="array" aca="1" ref="K25" ca="1">IF(AND($A25&lt;&gt;"",C25&lt;&gt;"OUI"),MAX(IF('Perf.Relais(1)'!$B$3:$B$80=$A25,'Perf.Relais(1)'!$AA$3:$AA$80)),"")</f>
        <v>0</v>
      </c>
      <c r="L25" s="551">
        <f t="array" aca="1" ref="L25" ca="1">IF(IF($A25&lt;&gt;"",C25&lt;&gt;"OUI"),MAX(IF('Perf.Relais(1)'!$B$3:$B$80=$A25,'Perf.Relais(1)'!$AD$3:$AD$80)),"")</f>
        <v>0</v>
      </c>
      <c r="M25" s="552">
        <f t="array" aca="1" ref="M25" ca="1">IF(IF($A25&lt;&gt;"",C25&lt;&gt;"OUI"),MAX(IF('Perf.Relais(1)'!$B$3:$B$80=$A25,'Perf.Relais(1)'!$AK$3:$AK$80)),"")</f>
        <v>0</v>
      </c>
      <c r="N25" s="555">
        <f t="array" aca="1" ref="N25" ca="1">IF(AND($A25&lt;&gt;"",$C25&lt;&gt;"OUI"),MAX(IF('Perf.Relais(2)'!$B$3:$B$80=$A25,'Perf.Relais(2)'!$AA$3:$AA$80)),"")</f>
        <v>0</v>
      </c>
      <c r="O25" s="551">
        <f t="array" aca="1" ref="O25" ca="1">IF(IF($A25&lt;&gt;"",$C25&lt;&gt;"OUI"),MAX(IF('Perf.Relais(2)'!$B$3:$B$80=$A25,'Perf.Relais(2)'!$AD$3:$AD$80)),"")</f>
        <v>0</v>
      </c>
      <c r="P25" s="588">
        <f t="array" aca="1" ref="P25" ca="1">IF(IF($A25&lt;&gt;"",$C25&lt;&gt;"OUI"),MAX(IF('Perf.Relais(2)'!$B$3:$B$80=$A25,'Perf.Relais(2)'!$AK$3:$AK$80)),"")</f>
        <v>0</v>
      </c>
      <c r="Q25" s="553">
        <f t="array" aca="1" ref="Q25" ca="1">IF($A25&lt;&gt;"",MAX(IF(Perf.Sprint!$B$4:$B$40=$A25,Perf.Sprint!$T$4:$T$40)),"")</f>
        <v>0</v>
      </c>
      <c r="R25" s="554">
        <f t="array" aca="1" ref="R25" ca="1">IF(AND($A25&lt;&gt;"",C25&lt;&gt;"OUI"),MAX(IF(Perf.Sprint!$B$4:$B$40=$A25,Perf.Sprint!$AF$4:$AF$40)),"")</f>
        <v>0</v>
      </c>
      <c r="S25" s="554">
        <f t="array" aca="1" ref="S25" ca="1">IF(AND($A25&lt;&gt;"",C25&lt;&gt;"OUI"),MAX(IF(Perf.Sprint!$B$4:$B$40=$A25,Perf.Sprint!$AS$4:$AS$40)),"")</f>
        <v>0</v>
      </c>
      <c r="T25" s="593">
        <f t="array" aca="1" ref="T25" ca="1">IF(AND($A25&lt;&gt;"",C25&lt;&gt;"OUI"),MAX(IF(Perf.Sprint!$B$4:$B$40=$A25,Perf.Sprint!$BF$4:$BF$40)),"")</f>
        <v>0</v>
      </c>
      <c r="U25" s="590" t="str">
        <f ca="1">IFERROR(RANK($D25,$D$3:$D$39,0)+COUNTIF(D$3:D25,D25)-1,"")</f>
        <v/>
      </c>
    </row>
    <row r="26" spans="1:21" ht="24" customHeight="1">
      <c r="A26" s="543" t="str">
        <f>IF(Liste!B26&lt;&gt;"",Liste!B26,"")</f>
        <v>X</v>
      </c>
      <c r="B26" s="544" t="str">
        <f>IF(Liste!C26&lt;&gt;"",Liste!C26,"")</f>
        <v>M</v>
      </c>
      <c r="C26" s="6"/>
      <c r="D26" s="546">
        <f t="shared" ca="1" si="0"/>
        <v>13</v>
      </c>
      <c r="E26" s="547" t="s">
        <v>207</v>
      </c>
      <c r="F26" s="548">
        <f>IF(E26&lt;&gt;"",INDEX(Barème!$AK$20:$AK$24,MATCH(E26,Barème!$AL$20:$AL$24,0)),"")</f>
        <v>4</v>
      </c>
      <c r="G26" s="549">
        <f t="shared" ca="1" si="1"/>
        <v>2.8</v>
      </c>
      <c r="H26" s="549">
        <f t="shared" ca="1" si="2"/>
        <v>1.125</v>
      </c>
      <c r="I26" s="549">
        <f t="shared" ca="1" si="3"/>
        <v>1.75</v>
      </c>
      <c r="J26" s="550">
        <f t="shared" ca="1" si="4"/>
        <v>3.5625</v>
      </c>
      <c r="K26" s="555">
        <f t="array" aca="1" ref="K26" ca="1">IF(AND($A26&lt;&gt;"",C26&lt;&gt;"OUI"),MAX(IF('Perf.Relais(1)'!$B$3:$B$80=$A26,'Perf.Relais(1)'!$AA$3:$AA$80)),"")</f>
        <v>3.5</v>
      </c>
      <c r="L26" s="551">
        <f t="array" aca="1" ref="L26" ca="1">IF(IF($A26&lt;&gt;"",C26&lt;&gt;"OUI"),MAX(IF('Perf.Relais(1)'!$B$3:$B$80=$A26,'Perf.Relais(1)'!$AD$3:$AD$80)),"")</f>
        <v>2.25</v>
      </c>
      <c r="M26" s="552">
        <f t="array" aca="1" ref="M26" ca="1">IF(IF($A26&lt;&gt;"",C26&lt;&gt;"OUI"),MAX(IF('Perf.Relais(1)'!$B$3:$B$80=$A26,'Perf.Relais(1)'!$AK$3:$AK$80)),"")</f>
        <v>3.5625</v>
      </c>
      <c r="N26" s="555">
        <f t="array" aca="1" ref="N26" ca="1">IF(AND($A26&lt;&gt;"",$C26&lt;&gt;"OUI"),MAX(IF('Perf.Relais(2)'!$B$3:$B$80=$A26,'Perf.Relais(2)'!$AA$3:$AA$80)),"")</f>
        <v>0</v>
      </c>
      <c r="O26" s="551">
        <f t="array" aca="1" ref="O26" ca="1">IF(IF($A26&lt;&gt;"",$C26&lt;&gt;"OUI"),MAX(IF('Perf.Relais(2)'!$B$3:$B$80=$A26,'Perf.Relais(2)'!$AD$3:$AD$80)),"")</f>
        <v>0</v>
      </c>
      <c r="P26" s="588">
        <f t="array" aca="1" ref="P26" ca="1">IF(IF($A26&lt;&gt;"",$C26&lt;&gt;"OUI"),MAX(IF('Perf.Relais(2)'!$B$3:$B$80=$A26,'Perf.Relais(2)'!$AK$3:$AK$80)),"")</f>
        <v>0</v>
      </c>
      <c r="Q26" s="553">
        <f t="array" aca="1" ref="Q26" ca="1">IF($A26&lt;&gt;"",MAX(IF(Perf.Sprint!$B$4:$B$40=$A26,Perf.Sprint!$T$4:$T$40)),"")</f>
        <v>3</v>
      </c>
      <c r="R26" s="554">
        <f t="array" aca="1" ref="R26" ca="1">IF(AND($A26&lt;&gt;"",C26&lt;&gt;"OUI"),MAX(IF(Perf.Sprint!$B$4:$B$40=$A26,Perf.Sprint!$AF$4:$AF$40)),"")</f>
        <v>3</v>
      </c>
      <c r="S26" s="554">
        <f t="array" aca="1" ref="S26" ca="1">IF(AND($A26&lt;&gt;"",C26&lt;&gt;"OUI"),MAX(IF(Perf.Sprint!$B$4:$B$40=$A26,Perf.Sprint!$AS$4:$AS$40)),"")</f>
        <v>3.5</v>
      </c>
      <c r="T26" s="593">
        <f t="array" aca="1" ref="T26" ca="1">IF(AND($A26&lt;&gt;"",C26&lt;&gt;"OUI"),MAX(IF(Perf.Sprint!$B$4:$B$40=$A26,Perf.Sprint!$BF$4:$BF$40)),"")</f>
        <v>3.75</v>
      </c>
      <c r="U26" s="590">
        <f ca="1">IFERROR(RANK($D26,$D$3:$D$39,0)+COUNTIF(D$3:D26,D26)-1,"")</f>
        <v>12</v>
      </c>
    </row>
    <row r="27" spans="1:21" ht="24" customHeight="1">
      <c r="A27" s="543" t="str">
        <f>IF(Liste!B27&lt;&gt;"",Liste!B27,"")</f>
        <v>Y</v>
      </c>
      <c r="B27" s="544" t="str">
        <f>IF(Liste!C27&lt;&gt;"",Liste!C27,"")</f>
        <v>F</v>
      </c>
      <c r="C27" s="6"/>
      <c r="D27" s="546">
        <f t="shared" ca="1" si="0"/>
        <v>15</v>
      </c>
      <c r="E27" s="547" t="s">
        <v>207</v>
      </c>
      <c r="F27" s="548">
        <f>IF(E27&lt;&gt;"",INDEX(Barème!$AK$20:$AK$24,MATCH(E27,Barème!$AL$20:$AL$24,0)),"")</f>
        <v>4</v>
      </c>
      <c r="G27" s="549">
        <f t="shared" ca="1" si="1"/>
        <v>3.4</v>
      </c>
      <c r="H27" s="549">
        <f t="shared" ca="1" si="2"/>
        <v>1.125</v>
      </c>
      <c r="I27" s="549">
        <f t="shared" ca="1" si="3"/>
        <v>1.75</v>
      </c>
      <c r="J27" s="550">
        <f t="shared" ca="1" si="4"/>
        <v>4.3125</v>
      </c>
      <c r="K27" s="555">
        <f t="array" aca="1" ref="K27" ca="1">IF(AND($A27&lt;&gt;"",C27&lt;&gt;"OUI"),MAX(IF('Perf.Relais(1)'!$B$3:$B$80=$A27,'Perf.Relais(1)'!$AA$3:$AA$80)),"")</f>
        <v>3.5</v>
      </c>
      <c r="L27" s="551">
        <f t="array" aca="1" ref="L27" ca="1">IF(IF($A27&lt;&gt;"",C27&lt;&gt;"OUI"),MAX(IF('Perf.Relais(1)'!$B$3:$B$80=$A27,'Perf.Relais(1)'!$AD$3:$AD$80)),"")</f>
        <v>2.25</v>
      </c>
      <c r="M27" s="552">
        <f t="array" aca="1" ref="M27" ca="1">IF(IF($A27&lt;&gt;"",C27&lt;&gt;"OUI"),MAX(IF('Perf.Relais(1)'!$B$3:$B$80=$A27,'Perf.Relais(1)'!$AK$3:$AK$80)),"")</f>
        <v>4.3125</v>
      </c>
      <c r="N27" s="555">
        <f t="array" aca="1" ref="N27" ca="1">IF(AND($A27&lt;&gt;"",$C27&lt;&gt;"OUI"),MAX(IF('Perf.Relais(2)'!$B$3:$B$80=$A27,'Perf.Relais(2)'!$AA$3:$AA$80)),"")</f>
        <v>0</v>
      </c>
      <c r="O27" s="551">
        <f t="array" aca="1" ref="O27" ca="1">IF(IF($A27&lt;&gt;"",$C27&lt;&gt;"OUI"),MAX(IF('Perf.Relais(2)'!$B$3:$B$80=$A27,'Perf.Relais(2)'!$AD$3:$AD$80)),"")</f>
        <v>0</v>
      </c>
      <c r="P27" s="588">
        <f t="array" aca="1" ref="P27" ca="1">IF(IF($A27&lt;&gt;"",$C27&lt;&gt;"OUI"),MAX(IF('Perf.Relais(2)'!$B$3:$B$80=$A27,'Perf.Relais(2)'!$AK$3:$AK$80)),"")</f>
        <v>0</v>
      </c>
      <c r="Q27" s="553">
        <f t="array" aca="1" ref="Q27" ca="1">IF($A27&lt;&gt;"",MAX(IF(Perf.Sprint!$B$4:$B$40=$A27,Perf.Sprint!$T$4:$T$40)),"")</f>
        <v>4</v>
      </c>
      <c r="R27" s="554">
        <f t="array" aca="1" ref="R27" ca="1">IF(AND($A27&lt;&gt;"",C27&lt;&gt;"OUI"),MAX(IF(Perf.Sprint!$B$4:$B$40=$A27,Perf.Sprint!$AF$4:$AF$40)),"")</f>
        <v>4</v>
      </c>
      <c r="S27" s="554">
        <f t="array" aca="1" ref="S27" ca="1">IF(AND($A27&lt;&gt;"",C27&lt;&gt;"OUI"),MAX(IF(Perf.Sprint!$B$4:$B$40=$A27,Perf.Sprint!$AS$4:$AS$40)),"")</f>
        <v>4.25</v>
      </c>
      <c r="T27" s="593">
        <f t="array" aca="1" ref="T27" ca="1">IF(AND($A27&lt;&gt;"",C27&lt;&gt;"OUI"),MAX(IF(Perf.Sprint!$B$4:$B$40=$A27,Perf.Sprint!$BF$4:$BF$40)),"")</f>
        <v>3.75</v>
      </c>
      <c r="U27" s="590">
        <f ca="1">IFERROR(RANK($D27,$D$3:$D$39,0)+COUNTIF(D$3:D27,D27)-1,"")</f>
        <v>6</v>
      </c>
    </row>
    <row r="28" spans="1:21" ht="24" customHeight="1">
      <c r="A28" s="543" t="str">
        <f>IF(Liste!B28&lt;&gt;"",Liste!B28,"")</f>
        <v>Z</v>
      </c>
      <c r="B28" s="544" t="str">
        <f>IF(Liste!C28&lt;&gt;"",Liste!C28,"")</f>
        <v>F</v>
      </c>
      <c r="C28" s="6" t="s">
        <v>239</v>
      </c>
      <c r="D28" s="546" t="str">
        <f t="shared" si="0"/>
        <v>?</v>
      </c>
      <c r="E28" s="547"/>
      <c r="F28" s="548" t="str">
        <f>IF(E28&lt;&gt;"",INDEX(Barème!$AK$20:$AK$24,MATCH(E28,Barème!$AL$20:$AL$24,0)),"")</f>
        <v/>
      </c>
      <c r="G28" s="549" t="str">
        <f t="shared" si="1"/>
        <v/>
      </c>
      <c r="H28" s="549" t="str">
        <f t="shared" si="2"/>
        <v/>
      </c>
      <c r="I28" s="549" t="str">
        <f t="shared" si="3"/>
        <v/>
      </c>
      <c r="J28" s="550" t="str">
        <f t="shared" si="4"/>
        <v/>
      </c>
      <c r="K28" s="555" t="str">
        <f t="array" ref="K28">IF(AND($A28&lt;&gt;"",C28&lt;&gt;"OUI"),MAX(IF('Perf.Relais(1)'!$B$3:$B$80=$A28,'Perf.Relais(1)'!$AA$3:$AA$80)),"")</f>
        <v/>
      </c>
      <c r="L28" s="551" t="str">
        <f t="array" ref="L28">IF(IF($A28&lt;&gt;"",C28&lt;&gt;"OUI"),MAX(IF('Perf.Relais(1)'!$B$3:$B$80=$A28,'Perf.Relais(1)'!$AD$3:$AD$80)),"")</f>
        <v/>
      </c>
      <c r="M28" s="552" t="str">
        <f t="array" ref="M28">IF(IF($A28&lt;&gt;"",C28&lt;&gt;"OUI"),MAX(IF('Perf.Relais(1)'!$B$3:$B$80=$A28,'Perf.Relais(1)'!$AK$3:$AK$80)),"")</f>
        <v/>
      </c>
      <c r="N28" s="555" t="str">
        <f t="array" ref="N28">IF(AND($A28&lt;&gt;"",$C28&lt;&gt;"OUI"),MAX(IF('Perf.Relais(2)'!$B$3:$B$80=$A28,'Perf.Relais(2)'!$AA$3:$AA$80)),"")</f>
        <v/>
      </c>
      <c r="O28" s="551" t="str">
        <f t="array" ref="O28">IF(IF($A28&lt;&gt;"",$C28&lt;&gt;"OUI"),MAX(IF('Perf.Relais(2)'!$B$3:$B$80=$A28,'Perf.Relais(2)'!$AD$3:$AD$80)),"")</f>
        <v/>
      </c>
      <c r="P28" s="588" t="str">
        <f t="array" ref="P28">IF(IF($A28&lt;&gt;"",$C28&lt;&gt;"OUI"),MAX(IF('Perf.Relais(2)'!$B$3:$B$80=$A28,'Perf.Relais(2)'!$AK$3:$AK$80)),"")</f>
        <v/>
      </c>
      <c r="Q28" s="553">
        <f t="array" aca="1" ref="Q28" ca="1">IF($A28&lt;&gt;"",MAX(IF(Perf.Sprint!$B$4:$B$40=$A28,Perf.Sprint!$T$4:$T$40)),"")</f>
        <v>0</v>
      </c>
      <c r="R28" s="554" t="str">
        <f t="array" ref="R28">IF(AND($A28&lt;&gt;"",C28&lt;&gt;"OUI"),MAX(IF(Perf.Sprint!$B$4:$B$40=$A28,Perf.Sprint!$AF$4:$AF$40)),"")</f>
        <v/>
      </c>
      <c r="S28" s="554" t="str">
        <f t="array" ref="S28">IF(AND($A28&lt;&gt;"",C28&lt;&gt;"OUI"),MAX(IF(Perf.Sprint!$B$4:$B$40=$A28,Perf.Sprint!$AS$4:$AS$40)),"")</f>
        <v/>
      </c>
      <c r="T28" s="593" t="str">
        <f t="array" ref="T28">IF(AND($A28&lt;&gt;"",C28&lt;&gt;"OUI"),MAX(IF(Perf.Sprint!$B$4:$B$40=$A28,Perf.Sprint!$BF$4:$BF$40)),"")</f>
        <v/>
      </c>
      <c r="U28" s="590" t="str">
        <f ca="1">IFERROR(RANK($D28,$D$3:$D$39,0)+COUNTIF(D$3:D28,D28)-1,"")</f>
        <v/>
      </c>
    </row>
    <row r="29" spans="1:21" ht="24" customHeight="1">
      <c r="A29" s="543" t="str">
        <f>IF(Liste!B29&lt;&gt;"",Liste!B29,"")</f>
        <v/>
      </c>
      <c r="B29" s="544" t="str">
        <f>IF(Liste!C29&lt;&gt;"",Liste!C29,"")</f>
        <v/>
      </c>
      <c r="C29" s="6"/>
      <c r="D29" s="546" t="str">
        <f t="shared" si="0"/>
        <v/>
      </c>
      <c r="E29" s="547"/>
      <c r="F29" s="548" t="str">
        <f>IF(E29&lt;&gt;"",INDEX(Barème!$AK$20:$AK$24,MATCH(E29,Barème!$AL$20:$AL$24,0)),"")</f>
        <v/>
      </c>
      <c r="G29" s="549" t="str">
        <f t="shared" si="1"/>
        <v/>
      </c>
      <c r="H29" s="549" t="str">
        <f t="shared" si="2"/>
        <v/>
      </c>
      <c r="I29" s="549" t="str">
        <f t="shared" si="3"/>
        <v/>
      </c>
      <c r="J29" s="550" t="str">
        <f t="shared" si="4"/>
        <v/>
      </c>
      <c r="K29" s="555" t="str">
        <f t="array" ref="K29">IF(AND($A29&lt;&gt;"",C29&lt;&gt;"OUI"),MAX(IF('Perf.Relais(1)'!$B$3:$B$80=$A29,'Perf.Relais(1)'!$AA$3:$AA$80)),"")</f>
        <v/>
      </c>
      <c r="L29" s="551" t="str">
        <f t="array" ref="L29">IF(IF($A29&lt;&gt;"",C29&lt;&gt;"OUI"),MAX(IF('Perf.Relais(1)'!$B$3:$B$80=$A29,'Perf.Relais(1)'!$AD$3:$AD$80)),"")</f>
        <v/>
      </c>
      <c r="M29" s="552" t="str">
        <f t="array" ref="M29">IF(IF($A29&lt;&gt;"",C29&lt;&gt;"OUI"),MAX(IF('Perf.Relais(1)'!$B$3:$B$80=$A29,'Perf.Relais(1)'!$AK$3:$AK$80)),"")</f>
        <v/>
      </c>
      <c r="N29" s="555" t="str">
        <f t="array" ref="N29">IF(AND($A29&lt;&gt;"",$C29&lt;&gt;"OUI"),MAX(IF('Perf.Relais(2)'!$B$3:$B$80=$A29,'Perf.Relais(2)'!$AA$3:$AA$80)),"")</f>
        <v/>
      </c>
      <c r="O29" s="551" t="str">
        <f t="array" ref="O29">IF(IF($A29&lt;&gt;"",$C29&lt;&gt;"OUI"),MAX(IF('Perf.Relais(2)'!$B$3:$B$80=$A29,'Perf.Relais(2)'!$AD$3:$AD$80)),"")</f>
        <v/>
      </c>
      <c r="P29" s="588" t="str">
        <f t="array" ref="P29">IF(IF($A29&lt;&gt;"",$C29&lt;&gt;"OUI"),MAX(IF('Perf.Relais(2)'!$B$3:$B$80=$A29,'Perf.Relais(2)'!$AK$3:$AK$80)),"")</f>
        <v/>
      </c>
      <c r="Q29" s="553" t="str">
        <f t="array" ref="Q29">IF($A29&lt;&gt;"",MAX(IF(Perf.Sprint!$B$4:$B$40=$A29,Perf.Sprint!$T$4:$T$40)),"")</f>
        <v/>
      </c>
      <c r="R29" s="554" t="str">
        <f t="array" ref="R29">IF(AND($A29&lt;&gt;"",C29&lt;&gt;"OUI"),MAX(IF(Perf.Sprint!$B$4:$B$40=$A29,Perf.Sprint!$AF$4:$AF$40)),"")</f>
        <v/>
      </c>
      <c r="S29" s="554" t="str">
        <f t="array" ref="S29">IF(AND($A29&lt;&gt;"",C29&lt;&gt;"OUI"),MAX(IF(Perf.Sprint!$B$4:$B$40=$A29,Perf.Sprint!$AS$4:$AS$40)),"")</f>
        <v/>
      </c>
      <c r="T29" s="593" t="str">
        <f t="array" ref="T29">IF(AND($A29&lt;&gt;"",C29&lt;&gt;"OUI"),MAX(IF(Perf.Sprint!$B$4:$B$40=$A29,Perf.Sprint!$BF$4:$BF$40)),"")</f>
        <v/>
      </c>
      <c r="U29" s="590" t="str">
        <f ca="1">IFERROR(RANK($D29,$D$3:$D$39,0)+COUNTIF(D$3:D29,D29)-1,"")</f>
        <v/>
      </c>
    </row>
    <row r="30" spans="1:21" ht="24" customHeight="1">
      <c r="A30" s="543" t="str">
        <f>IF(Liste!B30&lt;&gt;"",Liste!B30,"")</f>
        <v/>
      </c>
      <c r="B30" s="544" t="str">
        <f>IF(Liste!C30&lt;&gt;"",Liste!C30,"")</f>
        <v/>
      </c>
      <c r="C30" s="6"/>
      <c r="D30" s="546" t="str">
        <f t="shared" si="0"/>
        <v/>
      </c>
      <c r="E30" s="547"/>
      <c r="F30" s="548" t="str">
        <f>IF(E30&lt;&gt;"",INDEX(Barème!$AK$20:$AK$24,MATCH(E30,Barème!$AL$20:$AL$24,0)),"")</f>
        <v/>
      </c>
      <c r="G30" s="549" t="str">
        <f t="shared" si="1"/>
        <v/>
      </c>
      <c r="H30" s="549" t="str">
        <f t="shared" si="2"/>
        <v/>
      </c>
      <c r="I30" s="549" t="str">
        <f t="shared" si="3"/>
        <v/>
      </c>
      <c r="J30" s="550" t="str">
        <f t="shared" si="4"/>
        <v/>
      </c>
      <c r="K30" s="555" t="str">
        <f t="array" ref="K30">IF(AND($A30&lt;&gt;"",C30&lt;&gt;"OUI"),MAX(IF('Perf.Relais(1)'!$B$3:$B$80=$A30,'Perf.Relais(1)'!$AA$3:$AA$80)),"")</f>
        <v/>
      </c>
      <c r="L30" s="551" t="str">
        <f t="array" ref="L30">IF(IF($A30&lt;&gt;"",C30&lt;&gt;"OUI"),MAX(IF('Perf.Relais(1)'!$B$3:$B$80=$A30,'Perf.Relais(1)'!$AD$3:$AD$80)),"")</f>
        <v/>
      </c>
      <c r="M30" s="552" t="str">
        <f t="array" ref="M30">IF(IF($A30&lt;&gt;"",C30&lt;&gt;"OUI"),MAX(IF('Perf.Relais(1)'!$B$3:$B$80=$A30,'Perf.Relais(1)'!$AK$3:$AK$80)),"")</f>
        <v/>
      </c>
      <c r="N30" s="555" t="str">
        <f t="array" ref="N30">IF(AND($A30&lt;&gt;"",$C30&lt;&gt;"OUI"),MAX(IF('Perf.Relais(2)'!$B$3:$B$80=$A30,'Perf.Relais(2)'!$AA$3:$AA$80)),"")</f>
        <v/>
      </c>
      <c r="O30" s="551" t="str">
        <f t="array" ref="O30">IF(IF($A30&lt;&gt;"",$C30&lt;&gt;"OUI"),MAX(IF('Perf.Relais(2)'!$B$3:$B$80=$A30,'Perf.Relais(2)'!$AD$3:$AD$80)),"")</f>
        <v/>
      </c>
      <c r="P30" s="588" t="str">
        <f t="array" ref="P30">IF(IF($A30&lt;&gt;"",$C30&lt;&gt;"OUI"),MAX(IF('Perf.Relais(2)'!$B$3:$B$80=$A30,'Perf.Relais(2)'!$AK$3:$AK$80)),"")</f>
        <v/>
      </c>
      <c r="Q30" s="553" t="str">
        <f t="array" ref="Q30">IF($A30&lt;&gt;"",MAX(IF(Perf.Sprint!$B$4:$B$40=$A30,Perf.Sprint!$T$4:$T$40)),"")</f>
        <v/>
      </c>
      <c r="R30" s="554" t="str">
        <f t="array" ref="R30">IF(AND($A30&lt;&gt;"",C30&lt;&gt;"OUI"),MAX(IF(Perf.Sprint!$B$4:$B$40=$A30,Perf.Sprint!$AF$4:$AF$40)),"")</f>
        <v/>
      </c>
      <c r="S30" s="554" t="str">
        <f t="array" ref="S30">IF(AND($A30&lt;&gt;"",C30&lt;&gt;"OUI"),MAX(IF(Perf.Sprint!$B$4:$B$40=$A30,Perf.Sprint!$AS$4:$AS$40)),"")</f>
        <v/>
      </c>
      <c r="T30" s="593" t="str">
        <f t="array" ref="T30">IF(AND($A30&lt;&gt;"",C30&lt;&gt;"OUI"),MAX(IF(Perf.Sprint!$B$4:$B$40=$A30,Perf.Sprint!$BF$4:$BF$40)),"")</f>
        <v/>
      </c>
      <c r="U30" s="590" t="str">
        <f ca="1">IFERROR(RANK($D30,$D$3:$D$39,0)+COUNTIF(D$3:D30,D30)-1,"")</f>
        <v/>
      </c>
    </row>
    <row r="31" spans="1:21" ht="24" customHeight="1">
      <c r="A31" s="543" t="str">
        <f>IF(Liste!B31&lt;&gt;"",Liste!B31,"")</f>
        <v/>
      </c>
      <c r="B31" s="544" t="str">
        <f>IF(Liste!C31&lt;&gt;"",Liste!C31,"")</f>
        <v/>
      </c>
      <c r="C31" s="6"/>
      <c r="D31" s="546" t="str">
        <f t="shared" si="0"/>
        <v/>
      </c>
      <c r="E31" s="547"/>
      <c r="F31" s="548" t="str">
        <f>IF(E31&lt;&gt;"",INDEX(Barème!$AK$20:$AK$24,MATCH(E31,Barème!$AL$20:$AL$24,0)),"")</f>
        <v/>
      </c>
      <c r="G31" s="549" t="str">
        <f t="shared" si="1"/>
        <v/>
      </c>
      <c r="H31" s="549" t="str">
        <f t="shared" si="2"/>
        <v/>
      </c>
      <c r="I31" s="549" t="str">
        <f t="shared" si="3"/>
        <v/>
      </c>
      <c r="J31" s="550" t="str">
        <f t="shared" si="4"/>
        <v/>
      </c>
      <c r="K31" s="555" t="str">
        <f t="array" ref="K31">IF(AND($A31&lt;&gt;"",C31&lt;&gt;"OUI"),MAX(IF('Perf.Relais(1)'!$B$3:$B$80=$A31,'Perf.Relais(1)'!$AA$3:$AA$80)),"")</f>
        <v/>
      </c>
      <c r="L31" s="551" t="str">
        <f t="array" ref="L31">IF(IF($A31&lt;&gt;"",C31&lt;&gt;"OUI"),MAX(IF('Perf.Relais(1)'!$B$3:$B$80=$A31,'Perf.Relais(1)'!$AD$3:$AD$80)),"")</f>
        <v/>
      </c>
      <c r="M31" s="552" t="str">
        <f t="array" ref="M31">IF(IF($A31&lt;&gt;"",C31&lt;&gt;"OUI"),MAX(IF('Perf.Relais(1)'!$B$3:$B$80=$A31,'Perf.Relais(1)'!$AK$3:$AK$80)),"")</f>
        <v/>
      </c>
      <c r="N31" s="555" t="str">
        <f t="array" ref="N31">IF(AND($A31&lt;&gt;"",$C31&lt;&gt;"OUI"),MAX(IF('Perf.Relais(2)'!$B$3:$B$80=$A31,'Perf.Relais(2)'!$AA$3:$AA$80)),"")</f>
        <v/>
      </c>
      <c r="O31" s="551" t="str">
        <f t="array" ref="O31">IF(IF($A31&lt;&gt;"",$C31&lt;&gt;"OUI"),MAX(IF('Perf.Relais(2)'!$B$3:$B$80=$A31,'Perf.Relais(2)'!$AD$3:$AD$80)),"")</f>
        <v/>
      </c>
      <c r="P31" s="588" t="str">
        <f t="array" ref="P31">IF(IF($A31&lt;&gt;"",$C31&lt;&gt;"OUI"),MAX(IF('Perf.Relais(2)'!$B$3:$B$80=$A31,'Perf.Relais(2)'!$AK$3:$AK$80)),"")</f>
        <v/>
      </c>
      <c r="Q31" s="553" t="str">
        <f t="array" ref="Q31">IF($A31&lt;&gt;"",MAX(IF(Perf.Sprint!$B$4:$B$40=$A31,Perf.Sprint!$T$4:$T$40)),"")</f>
        <v/>
      </c>
      <c r="R31" s="554" t="str">
        <f t="array" ref="R31">IF(AND($A31&lt;&gt;"",C31&lt;&gt;"OUI"),MAX(IF(Perf.Sprint!$B$4:$B$40=$A31,Perf.Sprint!$AF$4:$AF$40)),"")</f>
        <v/>
      </c>
      <c r="S31" s="554" t="str">
        <f t="array" ref="S31">IF(AND($A31&lt;&gt;"",C31&lt;&gt;"OUI"),MAX(IF(Perf.Sprint!$B$4:$B$40=$A31,Perf.Sprint!$AS$4:$AS$40)),"")</f>
        <v/>
      </c>
      <c r="T31" s="593" t="str">
        <f t="array" ref="T31">IF(AND($A31&lt;&gt;"",C31&lt;&gt;"OUI"),MAX(IF(Perf.Sprint!$B$4:$B$40=$A31,Perf.Sprint!$BF$4:$BF$40)),"")</f>
        <v/>
      </c>
      <c r="U31" s="590" t="str">
        <f ca="1">IFERROR(RANK($D31,$D$3:$D$39,0)+COUNTIF(D$3:D31,D31)-1,"")</f>
        <v/>
      </c>
    </row>
    <row r="32" spans="1:21" ht="24" customHeight="1">
      <c r="A32" s="543" t="str">
        <f>IF(Liste!B32&lt;&gt;"",Liste!B32,"")</f>
        <v/>
      </c>
      <c r="B32" s="544" t="str">
        <f>IF(Liste!C32&lt;&gt;"",Liste!C32,"")</f>
        <v/>
      </c>
      <c r="C32" s="6"/>
      <c r="D32" s="546" t="str">
        <f t="shared" si="0"/>
        <v/>
      </c>
      <c r="E32" s="547"/>
      <c r="F32" s="548" t="str">
        <f>IF(E32&lt;&gt;"",INDEX(Barème!$AK$20:$AK$24,MATCH(E32,Barème!$AL$20:$AL$24,0)),"")</f>
        <v/>
      </c>
      <c r="G32" s="549" t="str">
        <f t="shared" si="1"/>
        <v/>
      </c>
      <c r="H32" s="549" t="str">
        <f t="shared" si="2"/>
        <v/>
      </c>
      <c r="I32" s="549" t="str">
        <f>IF(AND($A32&lt;&gt;"",$C32&lt;&gt;"OUI"),MAX(K32,N32)/2,"")</f>
        <v/>
      </c>
      <c r="J32" s="550" t="str">
        <f>IF(AND($A32&lt;&gt;"",$C32&lt;&gt;"OUI"),MAX(M32,P32),"")</f>
        <v/>
      </c>
      <c r="K32" s="555" t="str">
        <f t="array" ref="K32">IF(AND($A32&lt;&gt;"",C32&lt;&gt;"OUI"),MAX(IF('Perf.Relais(1)'!$B$3:$B$80=$A32,'Perf.Relais(1)'!$AA$3:$AA$80)),"")</f>
        <v/>
      </c>
      <c r="L32" s="551" t="str">
        <f t="array" ref="L32">IF(IF($A32&lt;&gt;"",C32&lt;&gt;"OUI"),MAX(IF('Perf.Relais(1)'!$B$3:$B$80=$A32,'Perf.Relais(1)'!$AD$3:$AD$80)),"")</f>
        <v/>
      </c>
      <c r="M32" s="552" t="str">
        <f t="array" ref="M32">IF(IF($A32&lt;&gt;"",C32&lt;&gt;"OUI"),MAX(IF('Perf.Relais(1)'!$B$3:$B$80=$A32,'Perf.Relais(1)'!$AK$3:$AK$80)),"")</f>
        <v/>
      </c>
      <c r="N32" s="555" t="str">
        <f t="array" ref="N32">IF(AND($A32&lt;&gt;"",$C32&lt;&gt;"OUI"),MAX(IF('Perf.Relais(2)'!$B$3:$B$80=$A32,'Perf.Relais(2)'!$AA$3:$AA$80)),"")</f>
        <v/>
      </c>
      <c r="O32" s="551" t="str">
        <f t="array" ref="O32">IF(IF($A32&lt;&gt;"",$C32&lt;&gt;"OUI"),MAX(IF('Perf.Relais(2)'!$B$3:$B$80=$A32,'Perf.Relais(2)'!$AD$3:$AD$80)),"")</f>
        <v/>
      </c>
      <c r="P32" s="588" t="str">
        <f t="array" ref="P32">IF(IF($A32&lt;&gt;"",$C32&lt;&gt;"OUI"),MAX(IF('Perf.Relais(2)'!$B$3:$B$80=$A32,'Perf.Relais(2)'!$AK$3:$AK$80)),"")</f>
        <v/>
      </c>
      <c r="Q32" s="553" t="str">
        <f t="array" ref="Q32">IF($A32&lt;&gt;"",MAX(IF(Perf.Sprint!$B$4:$B$40=$A32,Perf.Sprint!$T$4:$T$40)),"")</f>
        <v/>
      </c>
      <c r="R32" s="554" t="str">
        <f t="array" ref="R32">IF(AND($A32&lt;&gt;"",C32&lt;&gt;"OUI"),MAX(IF(Perf.Sprint!$B$4:$B$40=$A32,Perf.Sprint!$AF$4:$AF$40)),"")</f>
        <v/>
      </c>
      <c r="S32" s="554" t="str">
        <f t="array" ref="S32">IF(AND($A32&lt;&gt;"",C32&lt;&gt;"OUI"),MAX(IF(Perf.Sprint!$B$4:$B$40=$A32,Perf.Sprint!$AS$4:$AS$40)),"")</f>
        <v/>
      </c>
      <c r="T32" s="593" t="str">
        <f t="array" ref="T32">IF(AND($A32&lt;&gt;"",C32&lt;&gt;"OUI"),MAX(IF(Perf.Sprint!$B$4:$B$40=$A32,Perf.Sprint!$BF$4:$BF$40)),"")</f>
        <v/>
      </c>
      <c r="U32" s="590" t="str">
        <f ca="1">IFERROR(RANK($D32,$D$3:$D$39,0)+COUNTIF(D$3:D32,D32)-1,"")</f>
        <v/>
      </c>
    </row>
    <row r="33" spans="1:21" ht="24" customHeight="1">
      <c r="A33" s="543" t="str">
        <f>IF(Liste!B33&lt;&gt;"",Liste!B33,"")</f>
        <v/>
      </c>
      <c r="B33" s="544" t="str">
        <f>IF(Liste!C33&lt;&gt;"",Liste!C33,"")</f>
        <v/>
      </c>
      <c r="C33" s="6"/>
      <c r="D33" s="546" t="str">
        <f t="shared" si="0"/>
        <v/>
      </c>
      <c r="E33" s="547"/>
      <c r="F33" s="548" t="str">
        <f>IF(E33&lt;&gt;"",INDEX(Barème!$AK$20:$AK$24,MATCH(E33,Barème!$AL$20:$AL$24,0)),"")</f>
        <v/>
      </c>
      <c r="G33" s="549" t="str">
        <f t="shared" si="1"/>
        <v/>
      </c>
      <c r="H33" s="549" t="str">
        <f t="shared" si="2"/>
        <v/>
      </c>
      <c r="I33" s="549" t="str">
        <f t="shared" ref="I33:I39" si="5">IF(AND($A33&lt;&gt;"",$C33&lt;&gt;"OUI"),MAX(K33,N33)/2,"")</f>
        <v/>
      </c>
      <c r="J33" s="550" t="str">
        <f t="shared" si="4"/>
        <v/>
      </c>
      <c r="K33" s="555" t="str">
        <f t="array" ref="K33">IF(AND($A33&lt;&gt;"",C33&lt;&gt;"OUI"),MAX(IF('Perf.Relais(1)'!$B$3:$B$80=$A33,'Perf.Relais(1)'!$AA$3:$AA$80)),"")</f>
        <v/>
      </c>
      <c r="L33" s="551" t="str">
        <f t="array" ref="L33">IF(IF($A33&lt;&gt;"",C33&lt;&gt;"OUI"),MAX(IF('Perf.Relais(1)'!$B$3:$B$80=$A33,'Perf.Relais(1)'!$AD$3:$AD$80)),"")</f>
        <v/>
      </c>
      <c r="M33" s="552" t="str">
        <f t="array" ref="M33">IF(IF($A33&lt;&gt;"",C33&lt;&gt;"OUI"),MAX(IF('Perf.Relais(1)'!$B$3:$B$80=$A33,'Perf.Relais(1)'!$AK$3:$AK$80)),"")</f>
        <v/>
      </c>
      <c r="N33" s="555" t="str">
        <f t="array" ref="N33">IF(AND($A33&lt;&gt;"",$C33&lt;&gt;"OUI"),MAX(IF('Perf.Relais(2)'!$B$3:$B$80=$A33,'Perf.Relais(2)'!$AA$3:$AA$80)),"")</f>
        <v/>
      </c>
      <c r="O33" s="551" t="str">
        <f t="array" ref="O33">IF(IF($A33&lt;&gt;"",$C33&lt;&gt;"OUI"),MAX(IF('Perf.Relais(2)'!$B$3:$B$80=$A33,'Perf.Relais(2)'!$AD$3:$AD$80)),"")</f>
        <v/>
      </c>
      <c r="P33" s="588" t="str">
        <f t="array" ref="P33">IF(IF($A33&lt;&gt;"",$C33&lt;&gt;"OUI"),MAX(IF('Perf.Relais(2)'!$B$3:$B$80=$A33,'Perf.Relais(2)'!$AK$3:$AK$80)),"")</f>
        <v/>
      </c>
      <c r="Q33" s="553" t="str">
        <f t="array" ref="Q33">IF($A33&lt;&gt;"",MAX(IF(Perf.Sprint!$B$4:$B$40=$A33,Perf.Sprint!$T$4:$T$40)),"")</f>
        <v/>
      </c>
      <c r="R33" s="554" t="str">
        <f t="array" ref="R33">IF(AND($A33&lt;&gt;"",C33&lt;&gt;"OUI"),MAX(IF(Perf.Sprint!$B$4:$B$40=$A33,Perf.Sprint!$AF$4:$AF$40)),"")</f>
        <v/>
      </c>
      <c r="S33" s="554" t="str">
        <f t="array" ref="S33">IF(AND($A33&lt;&gt;"",C33&lt;&gt;"OUI"),MAX(IF(Perf.Sprint!$B$4:$B$40=$A33,Perf.Sprint!$AS$4:$AS$40)),"")</f>
        <v/>
      </c>
      <c r="T33" s="593" t="str">
        <f t="array" ref="T33">IF(AND($A33&lt;&gt;"",C33&lt;&gt;"OUI"),MAX(IF(Perf.Sprint!$B$4:$B$40=$A33,Perf.Sprint!$BF$4:$BF$40)),"")</f>
        <v/>
      </c>
      <c r="U33" s="590" t="str">
        <f ca="1">IFERROR(RANK($D33,$D$3:$D$39,0)+COUNTIF(D$3:D33,D33)-1,"")</f>
        <v/>
      </c>
    </row>
    <row r="34" spans="1:21" ht="24" customHeight="1">
      <c r="A34" s="543" t="str">
        <f>IF(Liste!B34&lt;&gt;"",Liste!B34,"")</f>
        <v/>
      </c>
      <c r="B34" s="544" t="str">
        <f>IF(Liste!C34&lt;&gt;"",Liste!C34,"")</f>
        <v/>
      </c>
      <c r="C34" s="6"/>
      <c r="D34" s="546" t="str">
        <f t="shared" si="0"/>
        <v/>
      </c>
      <c r="E34" s="547"/>
      <c r="F34" s="548" t="str">
        <f>IF(E34&lt;&gt;"",INDEX(Barème!$AK$20:$AK$24,MATCH(E34,Barème!$AL$20:$AL$24,0)),"")</f>
        <v/>
      </c>
      <c r="G34" s="549" t="str">
        <f t="shared" si="1"/>
        <v/>
      </c>
      <c r="H34" s="549" t="str">
        <f t="shared" si="2"/>
        <v/>
      </c>
      <c r="I34" s="549" t="str">
        <f t="shared" si="5"/>
        <v/>
      </c>
      <c r="J34" s="550" t="str">
        <f t="shared" si="4"/>
        <v/>
      </c>
      <c r="K34" s="555" t="str">
        <f t="array" ref="K34">IF(AND($A34&lt;&gt;"",C34&lt;&gt;"OUI"),MAX(IF('Perf.Relais(1)'!$B$3:$B$80=$A34,'Perf.Relais(1)'!$AA$3:$AA$80)),"")</f>
        <v/>
      </c>
      <c r="L34" s="551" t="str">
        <f t="array" ref="L34">IF(IF($A34&lt;&gt;"",C34&lt;&gt;"OUI"),MAX(IF('Perf.Relais(1)'!$B$3:$B$80=$A34,'Perf.Relais(1)'!$AD$3:$AD$80)),"")</f>
        <v/>
      </c>
      <c r="M34" s="552" t="str">
        <f t="array" ref="M34">IF(IF($A34&lt;&gt;"",C34&lt;&gt;"OUI"),MAX(IF('Perf.Relais(1)'!$B$3:$B$80=$A34,'Perf.Relais(1)'!$AK$3:$AK$80)),"")</f>
        <v/>
      </c>
      <c r="N34" s="555" t="str">
        <f t="array" ref="N34">IF(AND($A34&lt;&gt;"",$C34&lt;&gt;"OUI"),MAX(IF('Perf.Relais(2)'!$B$3:$B$80=$A34,'Perf.Relais(2)'!$AA$3:$AA$80)),"")</f>
        <v/>
      </c>
      <c r="O34" s="551" t="str">
        <f t="array" ref="O34">IF(IF($A34&lt;&gt;"",$C34&lt;&gt;"OUI"),MAX(IF('Perf.Relais(2)'!$B$3:$B$80=$A34,'Perf.Relais(2)'!$AD$3:$AD$80)),"")</f>
        <v/>
      </c>
      <c r="P34" s="588" t="str">
        <f t="array" ref="P34">IF(IF($A34&lt;&gt;"",$C34&lt;&gt;"OUI"),MAX(IF('Perf.Relais(2)'!$B$3:$B$80=$A34,'Perf.Relais(2)'!$AK$3:$AK$80)),"")</f>
        <v/>
      </c>
      <c r="Q34" s="553" t="str">
        <f t="array" ref="Q34">IF($A34&lt;&gt;"",MAX(IF(Perf.Sprint!$B$4:$B$40=$A34,Perf.Sprint!$T$4:$T$40)),"")</f>
        <v/>
      </c>
      <c r="R34" s="554" t="str">
        <f t="array" ref="R34">IF(AND($A34&lt;&gt;"",C34&lt;&gt;"OUI"),MAX(IF(Perf.Sprint!$B$4:$B$40=$A34,Perf.Sprint!$AF$4:$AF$40)),"")</f>
        <v/>
      </c>
      <c r="S34" s="554" t="str">
        <f t="array" ref="S34">IF(AND($A34&lt;&gt;"",C34&lt;&gt;"OUI"),MAX(IF(Perf.Sprint!$B$4:$B$40=$A34,Perf.Sprint!$AS$4:$AS$40)),"")</f>
        <v/>
      </c>
      <c r="T34" s="593" t="str">
        <f t="array" ref="T34">IF(AND($A34&lt;&gt;"",C34&lt;&gt;"OUI"),MAX(IF(Perf.Sprint!$B$4:$B$40=$A34,Perf.Sprint!$BF$4:$BF$40)),"")</f>
        <v/>
      </c>
      <c r="U34" s="590" t="str">
        <f ca="1">IFERROR(RANK($D34,$D$3:$D$39,0)+COUNTIF(D$3:D34,D34)-1,"")</f>
        <v/>
      </c>
    </row>
    <row r="35" spans="1:21" ht="24" customHeight="1">
      <c r="A35" s="543" t="str">
        <f>IF(Liste!B35&lt;&gt;"",Liste!B35,"")</f>
        <v/>
      </c>
      <c r="B35" s="544" t="str">
        <f>IF(Liste!C35&lt;&gt;"",Liste!C35,"")</f>
        <v/>
      </c>
      <c r="C35" s="6"/>
      <c r="D35" s="546" t="str">
        <f t="shared" si="0"/>
        <v/>
      </c>
      <c r="E35" s="547"/>
      <c r="F35" s="548" t="str">
        <f>IF(E35&lt;&gt;"",INDEX(Barème!$AK$20:$AK$24,MATCH(E35,Barème!$AL$20:$AL$24,0)),"")</f>
        <v/>
      </c>
      <c r="G35" s="549" t="str">
        <f t="shared" si="1"/>
        <v/>
      </c>
      <c r="H35" s="549" t="str">
        <f t="shared" si="2"/>
        <v/>
      </c>
      <c r="I35" s="549" t="str">
        <f t="shared" si="5"/>
        <v/>
      </c>
      <c r="J35" s="550" t="str">
        <f t="shared" si="4"/>
        <v/>
      </c>
      <c r="K35" s="555" t="str">
        <f t="array" ref="K35">IF(AND($A35&lt;&gt;"",C35&lt;&gt;"OUI"),MAX(IF('Perf.Relais(1)'!$B$3:$B$80=$A35,'Perf.Relais(1)'!$AA$3:$AA$80)),"")</f>
        <v/>
      </c>
      <c r="L35" s="551" t="str">
        <f t="array" ref="L35">IF(IF($A35&lt;&gt;"",C35&lt;&gt;"OUI"),MAX(IF('Perf.Relais(1)'!$B$3:$B$80=$A35,'Perf.Relais(1)'!$AD$3:$AD$80)),"")</f>
        <v/>
      </c>
      <c r="M35" s="552" t="str">
        <f t="array" ref="M35">IF(IF($A35&lt;&gt;"",C35&lt;&gt;"OUI"),MAX(IF('Perf.Relais(1)'!$B$3:$B$80=$A35,'Perf.Relais(1)'!$AK$3:$AK$80)),"")</f>
        <v/>
      </c>
      <c r="N35" s="555" t="str">
        <f t="array" ref="N35">IF(AND($A35&lt;&gt;"",$C35&lt;&gt;"OUI"),MAX(IF('Perf.Relais(2)'!$B$3:$B$80=$A35,'Perf.Relais(2)'!$AA$3:$AA$80)),"")</f>
        <v/>
      </c>
      <c r="O35" s="551" t="str">
        <f t="array" ref="O35">IF(IF($A35&lt;&gt;"",$C35&lt;&gt;"OUI"),MAX(IF('Perf.Relais(2)'!$B$3:$B$80=$A35,'Perf.Relais(2)'!$AD$3:$AD$80)),"")</f>
        <v/>
      </c>
      <c r="P35" s="588" t="str">
        <f t="array" ref="P35">IF(IF($A35&lt;&gt;"",$C35&lt;&gt;"OUI"),MAX(IF('Perf.Relais(2)'!$B$3:$B$80=$A35,'Perf.Relais(2)'!$AK$3:$AK$80)),"")</f>
        <v/>
      </c>
      <c r="Q35" s="553" t="str">
        <f t="array" ref="Q35">IF($A35&lt;&gt;"",MAX(IF(Perf.Sprint!$B$4:$B$40=$A35,Perf.Sprint!$T$4:$T$40)),"")</f>
        <v/>
      </c>
      <c r="R35" s="554" t="str">
        <f t="array" ref="R35">IF(AND($A35&lt;&gt;"",C35&lt;&gt;"OUI"),MAX(IF(Perf.Sprint!$B$4:$B$40=$A35,Perf.Sprint!$AF$4:$AF$40)),"")</f>
        <v/>
      </c>
      <c r="S35" s="554" t="str">
        <f t="array" ref="S35">IF(AND($A35&lt;&gt;"",C35&lt;&gt;"OUI"),MAX(IF(Perf.Sprint!$B$4:$B$40=$A35,Perf.Sprint!$AS$4:$AS$40)),"")</f>
        <v/>
      </c>
      <c r="T35" s="593" t="str">
        <f t="array" ref="T35">IF(AND($A35&lt;&gt;"",C35&lt;&gt;"OUI"),MAX(IF(Perf.Sprint!$B$4:$B$40=$A35,Perf.Sprint!$BF$4:$BF$40)),"")</f>
        <v/>
      </c>
      <c r="U35" s="590" t="str">
        <f ca="1">IFERROR(RANK($D35,$D$3:$D$39,0)+COUNTIF(D$3:D35,D35)-1,"")</f>
        <v/>
      </c>
    </row>
    <row r="36" spans="1:21" ht="24" customHeight="1">
      <c r="A36" s="543" t="str">
        <f>IF(Liste!B36&lt;&gt;"",Liste!B36,"")</f>
        <v/>
      </c>
      <c r="B36" s="544" t="str">
        <f>IF(Liste!C36&lt;&gt;"",Liste!C36,"")</f>
        <v/>
      </c>
      <c r="C36" s="6"/>
      <c r="D36" s="546" t="str">
        <f t="shared" si="0"/>
        <v/>
      </c>
      <c r="E36" s="547"/>
      <c r="F36" s="548" t="str">
        <f>IF(E36&lt;&gt;"",INDEX(Barème!$AK$20:$AK$24,MATCH(E36,Barème!$AL$20:$AL$24,0)),"")</f>
        <v/>
      </c>
      <c r="G36" s="549" t="str">
        <f t="shared" si="1"/>
        <v/>
      </c>
      <c r="H36" s="549" t="str">
        <f t="shared" si="2"/>
        <v/>
      </c>
      <c r="I36" s="549" t="str">
        <f t="shared" si="5"/>
        <v/>
      </c>
      <c r="J36" s="550" t="str">
        <f t="shared" si="4"/>
        <v/>
      </c>
      <c r="K36" s="555" t="str">
        <f t="array" ref="K36">IF(AND($A36&lt;&gt;"",C36&lt;&gt;"OUI"),MAX(IF('Perf.Relais(1)'!$B$3:$B$80=$A36,'Perf.Relais(1)'!$AA$3:$AA$80)),"")</f>
        <v/>
      </c>
      <c r="L36" s="551" t="str">
        <f t="array" ref="L36">IF(IF($A36&lt;&gt;"",C36&lt;&gt;"OUI"),MAX(IF('Perf.Relais(1)'!$B$3:$B$80=$A36,'Perf.Relais(1)'!$AD$3:$AD$80)),"")</f>
        <v/>
      </c>
      <c r="M36" s="552" t="str">
        <f t="array" ref="M36">IF(IF($A36&lt;&gt;"",C36&lt;&gt;"OUI"),MAX(IF('Perf.Relais(1)'!$B$3:$B$80=$A36,'Perf.Relais(1)'!$AK$3:$AK$80)),"")</f>
        <v/>
      </c>
      <c r="N36" s="555" t="str">
        <f t="array" ref="N36">IF(AND($A36&lt;&gt;"",$C36&lt;&gt;"OUI"),MAX(IF('Perf.Relais(2)'!$B$3:$B$80=$A36,'Perf.Relais(2)'!$AA$3:$AA$80)),"")</f>
        <v/>
      </c>
      <c r="O36" s="551" t="str">
        <f t="array" ref="O36">IF(IF($A36&lt;&gt;"",$C36&lt;&gt;"OUI"),MAX(IF('Perf.Relais(2)'!$B$3:$B$80=$A36,'Perf.Relais(2)'!$AD$3:$AD$80)),"")</f>
        <v/>
      </c>
      <c r="P36" s="588" t="str">
        <f t="array" ref="P36">IF(IF($A36&lt;&gt;"",$C36&lt;&gt;"OUI"),MAX(IF('Perf.Relais(2)'!$B$3:$B$80=$A36,'Perf.Relais(2)'!$AK$3:$AK$80)),"")</f>
        <v/>
      </c>
      <c r="Q36" s="553" t="str">
        <f t="array" ref="Q36">IF($A36&lt;&gt;"",MAX(IF(Perf.Sprint!$B$4:$B$40=$A36,Perf.Sprint!$T$4:$T$40)),"")</f>
        <v/>
      </c>
      <c r="R36" s="554" t="str">
        <f t="array" ref="R36">IF(AND($A36&lt;&gt;"",C36&lt;&gt;"OUI"),MAX(IF(Perf.Sprint!$B$4:$B$40=$A36,Perf.Sprint!$AF$4:$AF$40)),"")</f>
        <v/>
      </c>
      <c r="S36" s="554" t="str">
        <f t="array" ref="S36">IF(AND($A36&lt;&gt;"",C36&lt;&gt;"OUI"),MAX(IF(Perf.Sprint!$B$4:$B$40=$A36,Perf.Sprint!$AS$4:$AS$40)),"")</f>
        <v/>
      </c>
      <c r="T36" s="593" t="str">
        <f t="array" ref="T36">IF(AND($A36&lt;&gt;"",C36&lt;&gt;"OUI"),MAX(IF(Perf.Sprint!$B$4:$B$40=$A36,Perf.Sprint!$BF$4:$BF$40)),"")</f>
        <v/>
      </c>
      <c r="U36" s="590" t="str">
        <f ca="1">IFERROR(RANK($D36,$D$3:$D$39,0)+COUNTIF(D$3:D36,D36)-1,"")</f>
        <v/>
      </c>
    </row>
    <row r="37" spans="1:21" ht="24" customHeight="1">
      <c r="A37" s="543" t="str">
        <f>IF(Liste!B37&lt;&gt;"",Liste!B37,"")</f>
        <v/>
      </c>
      <c r="B37" s="544" t="str">
        <f>IF(Liste!C37&lt;&gt;"",Liste!C37,"")</f>
        <v/>
      </c>
      <c r="C37" s="6"/>
      <c r="D37" s="546" t="str">
        <f t="shared" si="0"/>
        <v/>
      </c>
      <c r="E37" s="547"/>
      <c r="F37" s="548" t="str">
        <f>IF(E37&lt;&gt;"",INDEX(Barème!$AK$20:$AK$24,MATCH(E37,Barème!$AL$20:$AL$24,0)),"")</f>
        <v/>
      </c>
      <c r="G37" s="549" t="str">
        <f t="shared" si="1"/>
        <v/>
      </c>
      <c r="H37" s="549" t="str">
        <f t="shared" si="2"/>
        <v/>
      </c>
      <c r="I37" s="549" t="str">
        <f t="shared" si="5"/>
        <v/>
      </c>
      <c r="J37" s="550" t="str">
        <f t="shared" si="4"/>
        <v/>
      </c>
      <c r="K37" s="555" t="str">
        <f t="array" ref="K37">IF(AND($A37&lt;&gt;"",C37&lt;&gt;"OUI"),MAX(IF('Perf.Relais(1)'!$B$3:$B$80=$A37,'Perf.Relais(1)'!$AA$3:$AA$80)),"")</f>
        <v/>
      </c>
      <c r="L37" s="551" t="str">
        <f t="array" ref="L37">IF(IF($A37&lt;&gt;"",C37&lt;&gt;"OUI"),MAX(IF('Perf.Relais(1)'!$B$3:$B$80=$A37,'Perf.Relais(1)'!$AD$3:$AD$80)),"")</f>
        <v/>
      </c>
      <c r="M37" s="552" t="str">
        <f t="array" ref="M37">IF(IF($A37&lt;&gt;"",C37&lt;&gt;"OUI"),MAX(IF('Perf.Relais(1)'!$B$3:$B$80=$A37,'Perf.Relais(1)'!$AK$3:$AK$80)),"")</f>
        <v/>
      </c>
      <c r="N37" s="555" t="str">
        <f t="array" ref="N37">IF(AND($A37&lt;&gt;"",$C37&lt;&gt;"OUI"),MAX(IF('Perf.Relais(2)'!$B$3:$B$80=$A37,'Perf.Relais(2)'!$AA$3:$AA$80)),"")</f>
        <v/>
      </c>
      <c r="O37" s="551" t="str">
        <f t="array" ref="O37">IF(IF($A37&lt;&gt;"",$C37&lt;&gt;"OUI"),MAX(IF('Perf.Relais(2)'!$B$3:$B$80=$A37,'Perf.Relais(2)'!$AD$3:$AD$80)),"")</f>
        <v/>
      </c>
      <c r="P37" s="588" t="str">
        <f t="array" ref="P37">IF(IF($A37&lt;&gt;"",$C37&lt;&gt;"OUI"),MAX(IF('Perf.Relais(2)'!$B$3:$B$80=$A37,'Perf.Relais(2)'!$AK$3:$AK$80)),"")</f>
        <v/>
      </c>
      <c r="Q37" s="553" t="str">
        <f t="array" ref="Q37">IF($A37&lt;&gt;"",MAX(IF(Perf.Sprint!$B$4:$B$40=$A37,Perf.Sprint!$T$4:$T$40)),"")</f>
        <v/>
      </c>
      <c r="R37" s="554" t="str">
        <f t="array" ref="R37">IF(AND($A37&lt;&gt;"",C37&lt;&gt;"OUI"),MAX(IF(Perf.Sprint!$B$4:$B$40=$A37,Perf.Sprint!$AF$4:$AF$40)),"")</f>
        <v/>
      </c>
      <c r="S37" s="554" t="str">
        <f t="array" ref="S37">IF(AND($A37&lt;&gt;"",C37&lt;&gt;"OUI"),MAX(IF(Perf.Sprint!$B$4:$B$40=$A37,Perf.Sprint!$AS$4:$AS$40)),"")</f>
        <v/>
      </c>
      <c r="T37" s="593" t="str">
        <f t="array" ref="T37">IF(AND($A37&lt;&gt;"",C37&lt;&gt;"OUI"),MAX(IF(Perf.Sprint!$B$4:$B$40=$A37,Perf.Sprint!$BF$4:$BF$40)),"")</f>
        <v/>
      </c>
      <c r="U37" s="590" t="str">
        <f ca="1">IFERROR(RANK($D37,$D$3:$D$39,0)+COUNTIF(D$3:D37,D37)-1,"")</f>
        <v/>
      </c>
    </row>
    <row r="38" spans="1:21" ht="24" customHeight="1">
      <c r="A38" s="543" t="str">
        <f>IF(Liste!B38&lt;&gt;"",Liste!B38,"")</f>
        <v/>
      </c>
      <c r="B38" s="544" t="str">
        <f>IF(Liste!C38&lt;&gt;"",Liste!C38,"")</f>
        <v/>
      </c>
      <c r="C38" s="6"/>
      <c r="D38" s="546" t="str">
        <f t="shared" si="0"/>
        <v/>
      </c>
      <c r="E38" s="547"/>
      <c r="F38" s="548" t="str">
        <f>IF(E38&lt;&gt;"",INDEX(Barème!$AK$20:$AK$24,MATCH(E38,Barème!$AL$20:$AL$24,0)),"")</f>
        <v/>
      </c>
      <c r="G38" s="549" t="str">
        <f t="shared" si="1"/>
        <v/>
      </c>
      <c r="H38" s="549" t="str">
        <f t="shared" si="2"/>
        <v/>
      </c>
      <c r="I38" s="549" t="str">
        <f t="shared" si="5"/>
        <v/>
      </c>
      <c r="J38" s="550" t="str">
        <f t="shared" si="4"/>
        <v/>
      </c>
      <c r="K38" s="555" t="str">
        <f t="array" ref="K38">IF(AND($A38&lt;&gt;"",C38&lt;&gt;"OUI"),MAX(IF('Perf.Relais(1)'!$B$3:$B$80=$A38,'Perf.Relais(1)'!$AA$3:$AA$80)),"")</f>
        <v/>
      </c>
      <c r="L38" s="551" t="str">
        <f t="array" ref="L38">IF(IF($A38&lt;&gt;"",C38&lt;&gt;"OUI"),MAX(IF('Perf.Relais(1)'!$B$3:$B$80=$A38,'Perf.Relais(1)'!$AD$3:$AD$80)),"")</f>
        <v/>
      </c>
      <c r="M38" s="552" t="str">
        <f t="array" ref="M38">IF(IF($A38&lt;&gt;"",C38&lt;&gt;"OUI"),MAX(IF('Perf.Relais(1)'!$B$3:$B$80=$A38,'Perf.Relais(1)'!$AK$3:$AK$80)),"")</f>
        <v/>
      </c>
      <c r="N38" s="555" t="str">
        <f t="array" ref="N38">IF(AND($A38&lt;&gt;"",$C38&lt;&gt;"OUI"),MAX(IF('Perf.Relais(2)'!$B$3:$B$80=$A38,'Perf.Relais(2)'!$AA$3:$AA$80)),"")</f>
        <v/>
      </c>
      <c r="O38" s="551" t="str">
        <f t="array" ref="O38">IF(IF($A38&lt;&gt;"",$C38&lt;&gt;"OUI"),MAX(IF('Perf.Relais(2)'!$B$3:$B$80=$A38,'Perf.Relais(2)'!$AD$3:$AD$80)),"")</f>
        <v/>
      </c>
      <c r="P38" s="588" t="str">
        <f t="array" ref="P38">IF(IF($A38&lt;&gt;"",$C38&lt;&gt;"OUI"),MAX(IF('Perf.Relais(2)'!$B$3:$B$80=$A38,'Perf.Relais(2)'!$AK$3:$AK$80)),"")</f>
        <v/>
      </c>
      <c r="Q38" s="553" t="str">
        <f t="array" ref="Q38">IF($A38&lt;&gt;"",MAX(IF(Perf.Sprint!$B$4:$B$40=$A38,Perf.Sprint!$T$4:$T$40)),"")</f>
        <v/>
      </c>
      <c r="R38" s="554" t="str">
        <f t="array" ref="R38">IF(AND($A38&lt;&gt;"",C38&lt;&gt;"OUI"),MAX(IF(Perf.Sprint!$B$4:$B$40=$A38,Perf.Sprint!$AF$4:$AF$40)),"")</f>
        <v/>
      </c>
      <c r="S38" s="554" t="str">
        <f t="array" ref="S38">IF(AND($A38&lt;&gt;"",C38&lt;&gt;"OUI"),MAX(IF(Perf.Sprint!$B$4:$B$40=$A38,Perf.Sprint!$AS$4:$AS$40)),"")</f>
        <v/>
      </c>
      <c r="T38" s="593" t="str">
        <f t="array" ref="T38">IF(AND($A38&lt;&gt;"",C38&lt;&gt;"OUI"),MAX(IF(Perf.Sprint!$B$4:$B$40=$A38,Perf.Sprint!$BF$4:$BF$40)),"")</f>
        <v/>
      </c>
      <c r="U38" s="590" t="str">
        <f ca="1">IFERROR(RANK($D38,$D$3:$D$39,0)+COUNTIF(D$3:D38,D38)-1,"")</f>
        <v/>
      </c>
    </row>
    <row r="39" spans="1:21" ht="24" customHeight="1" thickBot="1">
      <c r="A39" s="543" t="str">
        <f>IF(Liste!B39&lt;&gt;"",Liste!B39,"")</f>
        <v/>
      </c>
      <c r="B39" s="544" t="str">
        <f>IF(Liste!C39&lt;&gt;"",Liste!C39,"")</f>
        <v/>
      </c>
      <c r="C39" s="556"/>
      <c r="D39" s="598" t="str">
        <f t="shared" si="0"/>
        <v/>
      </c>
      <c r="E39" s="547"/>
      <c r="F39" s="587" t="str">
        <f>IF(E39&lt;&gt;"",INDEX(Barème!$AK$20:$AK$24,MATCH(E39,Barème!$AL$20:$AL$24,0)),"")</f>
        <v/>
      </c>
      <c r="G39" s="549" t="str">
        <f t="shared" si="1"/>
        <v/>
      </c>
      <c r="H39" s="557" t="str">
        <f t="shared" si="2"/>
        <v/>
      </c>
      <c r="I39" s="549" t="str">
        <f t="shared" si="5"/>
        <v/>
      </c>
      <c r="J39" s="594" t="str">
        <f t="shared" si="4"/>
        <v/>
      </c>
      <c r="K39" s="558" t="str">
        <f t="array" ref="K39">IF(AND($A39&lt;&gt;"",C39&lt;&gt;"OUI"),MAX(IF('Perf.Relais(1)'!$B$3:$B$80=$A39,'Perf.Relais(1)'!$AA$3:$AA$80)),"")</f>
        <v/>
      </c>
      <c r="L39" s="559" t="str">
        <f t="array" ref="L39">IF(IF($A39&lt;&gt;"",C39&lt;&gt;"OUI"),MAX(IF('Perf.Relais(1)'!$B$3:$B$80=$A39,'Perf.Relais(1)'!$AD$3:$AD$80)),"")</f>
        <v/>
      </c>
      <c r="M39" s="560" t="str">
        <f t="array" ref="M39">IF(IF($A39&lt;&gt;"",C39&lt;&gt;"OUI"),MAX(IF('Perf.Relais(1)'!$B$3:$B$80=$A39,'Perf.Relais(1)'!$AK$3:$AK$80)),"")</f>
        <v/>
      </c>
      <c r="N39" s="558" t="str">
        <f t="array" ref="N39">IF(AND($A39&lt;&gt;"",$C39&lt;&gt;"OUI"),MAX(IF('Perf.Relais(2)'!$B$3:$B$80=$A39,'Perf.Relais(2)'!$AA$3:$AA$80)),"")</f>
        <v/>
      </c>
      <c r="O39" s="559" t="str">
        <f t="array" ref="O39">IF(IF($A39&lt;&gt;"",$C39&lt;&gt;"OUI"),MAX(IF('Perf.Relais(2)'!$B$3:$B$80=$A39,'Perf.Relais(2)'!$AD$3:$AD$80)),"")</f>
        <v/>
      </c>
      <c r="P39" s="560" t="str">
        <f t="array" ref="P39">IF(IF($A39&lt;&gt;"",$C39&lt;&gt;"OUI"),MAX(IF('Perf.Relais(2)'!$B$3:$B$80=$A39,'Perf.Relais(2)'!$AK$3:$AK$80)),"")</f>
        <v/>
      </c>
      <c r="Q39" s="561" t="str">
        <f t="array" ref="Q39">IF($A39&lt;&gt;"",MAX(IF(Perf.Sprint!$B$4:$B$40=$A39,Perf.Sprint!$T$4:$T$40)),"")</f>
        <v/>
      </c>
      <c r="R39" s="562" t="str">
        <f t="array" ref="R39">IF(AND($A39&lt;&gt;"",C39&lt;&gt;"OUI"),MAX(IF(Perf.Sprint!$B$4:$B$40=$A39,Perf.Sprint!$AF$4:$AF$40)),"")</f>
        <v/>
      </c>
      <c r="S39" s="562" t="str">
        <f t="array" ref="S39">IF(AND($A39&lt;&gt;"",C39&lt;&gt;"OUI"),MAX(IF(Perf.Sprint!$B$4:$B$40=$A39,Perf.Sprint!$AS$4:$AS$40)),"")</f>
        <v/>
      </c>
      <c r="T39" s="592" t="str">
        <f t="array" ref="T39">IF(AND($A39&lt;&gt;"",C39&lt;&gt;"OUI"),MAX(IF(Perf.Sprint!$B$4:$B$40=$A39,Perf.Sprint!$BF$4:$BF$40)),"")</f>
        <v/>
      </c>
      <c r="U39" s="591" t="str">
        <f ca="1">IFERROR(RANK($D39,$D$3:$D$39,0)+COUNTIF(D$3:D39,D39)-1,"")</f>
        <v/>
      </c>
    </row>
    <row r="40" spans="1:21" ht="12.75">
      <c r="B40" s="16"/>
      <c r="C40" s="563" t="s">
        <v>103</v>
      </c>
      <c r="D40" s="214">
        <f ca="1">IFERROR(AVERAGE(D3:D39),"")</f>
        <v>13.277777777777779</v>
      </c>
      <c r="E40" s="564" t="s">
        <v>103</v>
      </c>
      <c r="F40" s="214">
        <f>IFERROR(AVERAGE(F3:F39),"")</f>
        <v>3.4736842105263159</v>
      </c>
      <c r="G40" s="214">
        <f ca="1">AVERAGE(G3:G39)</f>
        <v>2.8842105263157896</v>
      </c>
      <c r="H40" s="214">
        <f ca="1">AVERAGE(H3:H39)</f>
        <v>0.55263157894736847</v>
      </c>
      <c r="I40" s="214">
        <f ca="1">AVERAGE(I3:I39)</f>
        <v>1.611842105263158</v>
      </c>
      <c r="J40" s="565">
        <f t="shared" ref="J40:T40" ca="1" si="6">AVERAGE(J3:J39)</f>
        <v>4.3519736842105265</v>
      </c>
      <c r="K40" s="214">
        <f ca="1">AVERAGE(K3:K39)</f>
        <v>3.2236842105263159</v>
      </c>
      <c r="L40" s="214">
        <f ca="1">AVERAGE(L3:L39)</f>
        <v>1.1052631578947369</v>
      </c>
      <c r="M40" s="565">
        <f t="shared" ref="M40" ca="1" si="7">AVERAGE(M3:M39)</f>
        <v>4.3519736842105265</v>
      </c>
      <c r="N40" s="214">
        <f ca="1">AVERAGE(N3:N39)</f>
        <v>0</v>
      </c>
      <c r="O40" s="214">
        <f ca="1">AVERAGE(O3:O39)</f>
        <v>0</v>
      </c>
      <c r="P40" s="565">
        <f t="shared" ref="P40" ca="1" si="8">AVERAGE(P3:P39)</f>
        <v>0</v>
      </c>
      <c r="Q40" s="566">
        <f t="shared" ca="1" si="6"/>
        <v>2.6538461538461537</v>
      </c>
      <c r="R40" s="567">
        <f t="shared" ca="1" si="6"/>
        <v>3.3157894736842106</v>
      </c>
      <c r="S40" s="214">
        <f t="shared" ca="1" si="6"/>
        <v>3.6052631578947367</v>
      </c>
      <c r="T40" s="565">
        <f t="shared" ca="1" si="6"/>
        <v>3.3947368421052633</v>
      </c>
      <c r="U40" s="568"/>
    </row>
    <row r="41" spans="1:21" ht="12.75">
      <c r="A41" s="17" t="s">
        <v>8</v>
      </c>
      <c r="B41" s="18">
        <f>COUNTIF($B$3:$B$39,"F")</f>
        <v>14</v>
      </c>
      <c r="C41" s="569" t="s">
        <v>105</v>
      </c>
      <c r="D41" s="570">
        <f t="array" aca="1" ref="D41" ca="1">IF(ISERROR(AVERAGE(IF($B$3:$B$39="F",D$3:D$39))),"",AVERAGE(IF($B$3:$B$39="F",D$3:D$39)))</f>
        <v>11.8</v>
      </c>
      <c r="E41" s="571" t="s">
        <v>105</v>
      </c>
      <c r="F41" s="233">
        <f t="array" ref="F41">IF(ISERROR(AVERAGE(IF($B$3:$B$39="F",F$3:F$39))),"",AVERAGE(IF($B$3:$B$39="F",F$3:F$39)))</f>
        <v>3.0909090909090908</v>
      </c>
      <c r="G41" s="233">
        <f t="array" aca="1" ref="G41" ca="1">IF(ISERROR(AVERAGE(IF($B$3:$B$39="F",G$3:G$39))),"",AVERAGE(IF($B$3:$B$39="F",G$3:G$39)))</f>
        <v>2.7272727272727271</v>
      </c>
      <c r="H41" s="233">
        <f t="array" aca="1" ref="H41" ca="1">IF(ISERROR(AVERAGE(IF($B$3:$B$39="F",H$3:H$39))),"",AVERAGE(IF($B$3:$B$39="F",H$3:H$39)))</f>
        <v>0.28977272727272729</v>
      </c>
      <c r="I41" s="233">
        <f t="array" aca="1" ref="I41" ca="1">IF(ISERROR(AVERAGE(IF($B$3:$B$39="F",I$3:I$39))),"",AVERAGE(IF($B$3:$B$39="F",I$3:I$39)))</f>
        <v>1.375</v>
      </c>
      <c r="J41" s="572">
        <f t="array" aca="1" ref="J41" ca="1">IF(ISERROR(AVERAGE(IF($B$3:$B$39="F",J$3:J$39))),"",AVERAGE(IF($B$3:$B$39="F",J$3:J$39)))</f>
        <v>3.6136363636363638</v>
      </c>
      <c r="K41" s="233">
        <f t="array" aca="1" ref="K41" ca="1">IF(ISERROR(AVERAGE(IF($B$3:$B$39="F",K$3:K$39))),"",AVERAGE(IF($B$3:$B$39="F",K$3:K$39)))</f>
        <v>2.75</v>
      </c>
      <c r="L41" s="233">
        <f t="array" aca="1" ref="L41" ca="1">IF(ISERROR(AVERAGE(IF($B$3:$B$39="F",L$3:L$39))),"",AVERAGE(IF($B$3:$B$39="F",L$3:L$39)))</f>
        <v>0.57954545454545459</v>
      </c>
      <c r="M41" s="572">
        <f t="array" aca="1" ref="M41" ca="1">IF(ISERROR(AVERAGE(IF($B$3:$B$39="F",M$3:M$39))),"",AVERAGE(IF($B$3:$B$39="F",M$3:M$39)))</f>
        <v>3.6136363636363638</v>
      </c>
      <c r="N41" s="233">
        <f t="array" aca="1" ref="N41" ca="1">IF(ISERROR(AVERAGE(IF($B$3:$B$39="F",N$3:N$39))),"",AVERAGE(IF($B$3:$B$39="F",N$3:N$39)))</f>
        <v>0</v>
      </c>
      <c r="O41" s="233">
        <f t="array" aca="1" ref="O41" ca="1">IF(ISERROR(AVERAGE(IF($B$3:$B$39="F",O$3:O$39))),"",AVERAGE(IF($B$3:$B$39="F",O$3:O$39)))</f>
        <v>0</v>
      </c>
      <c r="P41" s="572">
        <f t="array" aca="1" ref="P41" ca="1">IF(ISERROR(AVERAGE(IF($B$3:$B$39="F",P$3:P$39))),"",AVERAGE(IF($B$3:$B$39="F",P$3:P$39)))</f>
        <v>0</v>
      </c>
      <c r="Q41" s="573">
        <f t="array" aca="1" ref="Q41" ca="1">IF(ISERROR(AVERAGE(IF($B$3:$B$39="F",Q$3:Q$39))),"",AVERAGE(IF($B$3:$B$39="F",Q$3:Q$39)))</f>
        <v>3.0714285714285716</v>
      </c>
      <c r="R41" s="574">
        <f t="array" aca="1" ref="R41" ca="1">IF(ISERROR(AVERAGE(IF($B$3:$B$39="F",R$3:R$39))),"",AVERAGE(IF($B$3:$B$39="F",R$3:R$39)))</f>
        <v>3.1818181818181817</v>
      </c>
      <c r="S41" s="233">
        <f t="array" aca="1" ref="S41" ca="1">IF(ISERROR(AVERAGE(IF($B$3:$B$39="F",S$3:S$39))),"",AVERAGE(IF($B$3:$B$39="F",S$3:S$39)))</f>
        <v>3.4090909090909092</v>
      </c>
      <c r="T41" s="572">
        <f t="array" aca="1" ref="T41" ca="1">IF(ISERROR(AVERAGE(IF($B$3:$B$39="F",T$3:T$39))),"",AVERAGE(IF($B$3:$B$39="F",T$3:T$39)))</f>
        <v>3.0454545454545454</v>
      </c>
    </row>
    <row r="42" spans="1:21" ht="12.75">
      <c r="A42" s="19" t="s">
        <v>10</v>
      </c>
      <c r="B42" s="18">
        <f>COUNTIF($B$3:$B$39,"M")</f>
        <v>12</v>
      </c>
      <c r="C42" s="575" t="s">
        <v>107</v>
      </c>
      <c r="D42" s="576">
        <f t="array" aca="1" ref="D42" ca="1">IF(ISERROR(AVERAGE(IF($B$3:$B$39="M",D$3:D$39))),"",AVERAGE(IF($B$3:$B$39="M",D$3:D$39)))</f>
        <v>15.125</v>
      </c>
      <c r="E42" s="577" t="s">
        <v>107</v>
      </c>
      <c r="F42" s="249">
        <f t="array" ref="F42">IF(ISERROR(AVERAGE(IF($B$3:$B$39="M",F$3:F$39))),"",AVERAGE(IF($B$3:$B$39="M",F$3:F$39)))</f>
        <v>4</v>
      </c>
      <c r="G42" s="249">
        <f t="array" aca="1" ref="G42" ca="1">IF(ISERROR(AVERAGE(IF($B$3:$B$39="M",G$3:G$39))),"",AVERAGE(IF($B$3:$B$39="M",G$3:G$39)))</f>
        <v>3.1000000000000005</v>
      </c>
      <c r="H42" s="249">
        <f t="array" aca="1" ref="H42" ca="1">IF(ISERROR(AVERAGE(IF($B$3:$B$39="M",H$3:H$39))),"",AVERAGE(IF($B$3:$B$39="M",H$3:H$39)))</f>
        <v>0.9140625</v>
      </c>
      <c r="I42" s="249">
        <f t="array" aca="1" ref="I42" ca="1">IF(ISERROR(AVERAGE(IF($B$3:$B$39="M",I$3:I$39))),"",AVERAGE(IF($B$3:$B$39="M",I$3:I$39)))</f>
        <v>1.9375</v>
      </c>
      <c r="J42" s="578">
        <f t="array" aca="1" ref="J42" ca="1">IF(ISERROR(AVERAGE(IF($B$3:$B$39="M",J$3:J$39))),"",AVERAGE(IF($B$3:$B$39="M",J$3:J$39)))</f>
        <v>5.3671875</v>
      </c>
      <c r="K42" s="249">
        <f t="array" aca="1" ref="K42" ca="1">IF(ISERROR(AVERAGE(IF($B$3:$B$39="M",K$3:K$39))),"",AVERAGE(IF($B$3:$B$39="M",K$3:K$39)))</f>
        <v>3.875</v>
      </c>
      <c r="L42" s="249">
        <f t="array" aca="1" ref="L42" ca="1">IF(ISERROR(AVERAGE(IF($B$3:$B$39="M",L$3:L$39))),"",AVERAGE(IF($B$3:$B$39="M",L$3:L$39)))</f>
        <v>1.828125</v>
      </c>
      <c r="M42" s="578">
        <f t="array" aca="1" ref="M42" ca="1">IF(ISERROR(AVERAGE(IF($B$3:$B$39="M",M$3:M$39))),"",AVERAGE(IF($B$3:$B$39="M",M$3:M$39)))</f>
        <v>5.3671875</v>
      </c>
      <c r="N42" s="249">
        <f t="array" aca="1" ref="N42" ca="1">IF(ISERROR(AVERAGE(IF($B$3:$B$39="M",N$3:N$39))),"",AVERAGE(IF($B$3:$B$39="M",N$3:N$39)))</f>
        <v>0</v>
      </c>
      <c r="O42" s="249">
        <f t="array" aca="1" ref="O42" ca="1">IF(ISERROR(AVERAGE(IF($B$3:$B$39="M",O$3:O$39))),"",AVERAGE(IF($B$3:$B$39="M",O$3:O$39)))</f>
        <v>0</v>
      </c>
      <c r="P42" s="578">
        <f t="array" aca="1" ref="P42" ca="1">IF(ISERROR(AVERAGE(IF($B$3:$B$39="M",P$3:P$39))),"",AVERAGE(IF($B$3:$B$39="M",P$3:P$39)))</f>
        <v>0</v>
      </c>
      <c r="Q42" s="579">
        <f t="array" aca="1" ref="Q42" ca="1">IF(ISERROR(AVERAGE(IF($B$3:$B$39="M",Q$3:Q$39))),"",AVERAGE(IF($B$3:$B$39="M",Q$3:Q$39)))</f>
        <v>2.1666666666666665</v>
      </c>
      <c r="R42" s="580">
        <f t="array" aca="1" ref="R42" ca="1">IF(ISERROR(AVERAGE(IF($B$3:$B$39="M",R$3:R$39))),"",AVERAGE(IF($B$3:$B$39="M",R$3:R$39)))</f>
        <v>3.5</v>
      </c>
      <c r="S42" s="249">
        <f t="array" aca="1" ref="S42" ca="1">IF(ISERROR(AVERAGE(IF($B$3:$B$39="M",S$3:S$39))),"",AVERAGE(IF($B$3:$B$39="M",S$3:S$39)))</f>
        <v>3.875</v>
      </c>
      <c r="T42" s="578">
        <f t="array" aca="1" ref="T42" ca="1">IF(ISERROR(AVERAGE(IF($B$3:$B$39="M",T$3:T$39))),"",AVERAGE(IF($B$3:$B$39="M",T$3:T$39)))</f>
        <v>3.875</v>
      </c>
    </row>
    <row r="43" spans="1:21" ht="12.75">
      <c r="C43" s="569" t="s">
        <v>109</v>
      </c>
      <c r="D43" s="570">
        <f t="array" aca="1" ref="D43" ca="1">IF(ISERROR(MIN(IF($B$3:$B$39="F",D$3:D$39))),"",MIN(IF($B$3:$B$39="F",D$3:D$39)))</f>
        <v>0</v>
      </c>
      <c r="E43" s="571" t="s">
        <v>109</v>
      </c>
      <c r="F43" s="233">
        <f t="array" ref="F43">IF(ISERROR(MIN(IF($B$3:$B$39="F",F$3:F$39))),"",MIN(IF($B$3:$B$39="F",F$3:F$39)))</f>
        <v>0</v>
      </c>
      <c r="G43" s="233">
        <f t="array" aca="1" ref="G43" ca="1">IF(ISERROR(MIN(IF($B$3:$B$39="F",G$3:G$39))),"",MIN(IF($B$3:$B$39="F",G$3:G$39)))</f>
        <v>0</v>
      </c>
      <c r="H43" s="233">
        <f t="array" aca="1" ref="H43" ca="1">IF(ISERROR(MIN(IF($B$3:$B$39="F",H$3:H$39))),"",MIN(IF($B$3:$B$39="F",H$3:H$39)))</f>
        <v>0</v>
      </c>
      <c r="I43" s="233">
        <f t="array" aca="1" ref="I43" ca="1">IF(ISERROR(MIN(IF($B$3:$B$39="F",I$3:I$39))),"",MIN(IF($B$3:$B$39="F",I$3:I$39)))</f>
        <v>0</v>
      </c>
      <c r="J43" s="572">
        <f t="array" aca="1" ref="J43" ca="1">IF(ISERROR(MIN(IF($B$3:$B$39="F",J$3:J$39))),"",MIN(IF($B$3:$B$39="F",J$3:J$39)))</f>
        <v>0</v>
      </c>
      <c r="K43" s="233">
        <f t="array" aca="1" ref="K43" ca="1">IF(ISERROR(MIN(IF($B$3:$B$39="F",K$3:K$39))),"",MIN(IF($B$3:$B$39="F",K$3:K$39)))</f>
        <v>0</v>
      </c>
      <c r="L43" s="233">
        <f t="array" aca="1" ref="L43" ca="1">IF(ISERROR(MIN(IF($B$3:$B$39="F",L$3:L$39))),"",MIN(IF($B$3:$B$39="F",L$3:L$39)))</f>
        <v>0</v>
      </c>
      <c r="M43" s="572">
        <f t="array" aca="1" ref="M43" ca="1">IF(ISERROR(MIN(IF($B$3:$B$39="F",M$3:M$39))),"",MIN(IF($B$3:$B$39="F",M$3:M$39)))</f>
        <v>0</v>
      </c>
      <c r="N43" s="233">
        <f t="array" aca="1" ref="N43" ca="1">IF(ISERROR(MIN(IF($B$3:$B$39="F",N$3:N$39))),"",MIN(IF($B$3:$B$39="F",N$3:N$39)))</f>
        <v>0</v>
      </c>
      <c r="O43" s="233">
        <f t="array" aca="1" ref="O43" ca="1">IF(ISERROR(MIN(IF($B$3:$B$39="F",O$3:O$39))),"",MIN(IF($B$3:$B$39="F",O$3:O$39)))</f>
        <v>0</v>
      </c>
      <c r="P43" s="572">
        <f t="array" aca="1" ref="P43" ca="1">IF(ISERROR(MIN(IF($B$3:$B$39="F",P$3:P$39))),"",MIN(IF($B$3:$B$39="F",P$3:P$39)))</f>
        <v>0</v>
      </c>
      <c r="Q43" s="573">
        <f t="array" aca="1" ref="Q43" ca="1">IF(ISERROR(MIN(IF($B$3:$B$39="F",Q$3:Q$39))),"",MIN(IF($B$3:$B$39="F",Q$3:Q$39)))</f>
        <v>0</v>
      </c>
      <c r="R43" s="574">
        <f t="array" aca="1" ref="R43" ca="1">IF(ISERROR(MIN(IF($B$3:$B$39="F",R$3:R$39))),"",MIN(IF($B$3:$B$39="F",R$3:R$39)))</f>
        <v>0</v>
      </c>
      <c r="S43" s="233">
        <f t="array" aca="1" ref="S43" ca="1">IF(ISERROR(MIN(IF($B$3:$B$39="F",S$3:S$39))),"",MIN(IF($B$3:$B$39="F",S$3:S$39)))</f>
        <v>0</v>
      </c>
      <c r="T43" s="572">
        <f t="array" aca="1" ref="T43" ca="1">IF(ISERROR(MIN(IF($B$3:$B$39="F",T$3:T$39))),"",MIN(IF($B$3:$B$39="F",T$3:T$39)))</f>
        <v>0</v>
      </c>
    </row>
    <row r="44" spans="1:21" ht="12.75">
      <c r="C44" s="575" t="s">
        <v>110</v>
      </c>
      <c r="D44" s="576">
        <f t="array" aca="1" ref="D44" ca="1">IF(ISERROR(MIN(IF($B$3:$B$39="M",D$3:D$39))),"",MIN(IF($B$3:$B$39="M",D$3:D$39)))</f>
        <v>12</v>
      </c>
      <c r="E44" s="577" t="s">
        <v>110</v>
      </c>
      <c r="F44" s="249">
        <f t="array" ref="F44">IF(ISERROR(MIN(IF($B$3:$B$39="M",F$3:F$39))),"",MIN(IF($B$3:$B$39="M",F$3:F$39)))</f>
        <v>4</v>
      </c>
      <c r="G44" s="249">
        <f t="array" aca="1" ref="G44" ca="1">IF(ISERROR(MIN(IF($B$3:$B$39="M",G$3:G$39))),"",MIN(IF($B$3:$B$39="M",G$3:G$39)))</f>
        <v>2</v>
      </c>
      <c r="H44" s="249">
        <f t="array" aca="1" ref="H44" ca="1">IF(ISERROR(MIN(IF($B$3:$B$39="M",H$3:H$39))),"",MIN(IF($B$3:$B$39="M",H$3:H$39)))</f>
        <v>0</v>
      </c>
      <c r="I44" s="249">
        <f t="array" aca="1" ref="I44" ca="1">IF(ISERROR(MIN(IF($B$3:$B$39="M",I$3:I$39))),"",MIN(IF($B$3:$B$39="M",I$3:I$39)))</f>
        <v>1.375</v>
      </c>
      <c r="J44" s="578">
        <f t="array" aca="1" ref="J44" ca="1">IF(ISERROR(MIN(IF($B$3:$B$39="M",J$3:J$39))),"",MIN(IF($B$3:$B$39="M",J$3:J$39)))</f>
        <v>3.5625</v>
      </c>
      <c r="K44" s="249">
        <f t="array" aca="1" ref="K44" ca="1">IF(ISERROR(MIN(IF($B$3:$B$39="M",K$3:K$39))),"",MIN(IF($B$3:$B$39="M",K$3:K$39)))</f>
        <v>2.75</v>
      </c>
      <c r="L44" s="249">
        <f t="array" aca="1" ref="L44" ca="1">IF(ISERROR(MIN(IF($B$3:$B$39="M",L$3:L$39))),"",MIN(IF($B$3:$B$39="M",L$3:L$39)))</f>
        <v>0</v>
      </c>
      <c r="M44" s="578">
        <f t="array" aca="1" ref="M44" ca="1">IF(ISERROR(MIN(IF($B$3:$B$39="M",M$3:M$39))),"",MIN(IF($B$3:$B$39="M",M$3:M$39)))</f>
        <v>3.5625</v>
      </c>
      <c r="N44" s="249">
        <f t="array" aca="1" ref="N44" ca="1">IF(ISERROR(MIN(IF($B$3:$B$39="M",N$3:N$39))),"",MIN(IF($B$3:$B$39="M",N$3:N$39)))</f>
        <v>0</v>
      </c>
      <c r="O44" s="249">
        <f t="array" aca="1" ref="O44" ca="1">IF(ISERROR(MIN(IF($B$3:$B$39="M",O$3:O$39))),"",MIN(IF($B$3:$B$39="M",O$3:O$39)))</f>
        <v>0</v>
      </c>
      <c r="P44" s="578">
        <f t="array" aca="1" ref="P44" ca="1">IF(ISERROR(MIN(IF($B$3:$B$39="M",P$3:P$39))),"",MIN(IF($B$3:$B$39="M",P$3:P$39)))</f>
        <v>0</v>
      </c>
      <c r="Q44" s="579">
        <f t="array" aca="1" ref="Q44" ca="1">IF(ISERROR(MIN(IF($B$3:$B$39="M",Q$3:Q$39))),"",MIN(IF($B$3:$B$39="M",Q$3:Q$39)))</f>
        <v>0</v>
      </c>
      <c r="R44" s="580">
        <f t="array" aca="1" ref="R44" ca="1">IF(ISERROR(MIN(IF($B$3:$B$39="M",R$3:R$39))),"",MIN(IF($B$3:$B$39="M",R$3:R$39)))</f>
        <v>2</v>
      </c>
      <c r="S44" s="249">
        <f t="array" aca="1" ref="S44" ca="1">IF(ISERROR(MIN(IF($B$3:$B$39="M",S$3:S$39))),"",MIN(IF($B$3:$B$39="M",S$3:S$39)))</f>
        <v>2.5</v>
      </c>
      <c r="T44" s="578">
        <f t="array" aca="1" ref="T44" ca="1">IF(ISERROR(MIN(IF($B$3:$B$39="M",T$3:T$39))),"",MIN(IF($B$3:$B$39="M",T$3:T$39)))</f>
        <v>2.75</v>
      </c>
    </row>
    <row r="45" spans="1:21" ht="12.75">
      <c r="C45" s="569" t="s">
        <v>111</v>
      </c>
      <c r="D45" s="570">
        <f t="array" aca="1" ref="D45" ca="1">IF(ISERROR(MAX(IF($B$3:$B$39="F",D$3:D$39))),"",MAX(IF($B$3:$B$39="F",D$3:D$39)))</f>
        <v>17</v>
      </c>
      <c r="E45" s="571" t="s">
        <v>111</v>
      </c>
      <c r="F45" s="233">
        <f t="array" ref="F45">IF(ISERROR(MAX(IF($B$3:$B$39="F",F$3:F$39))),"",MAX(IF($B$3:$B$39="F",F$3:F$39)))</f>
        <v>4</v>
      </c>
      <c r="G45" s="233">
        <f t="array" aca="1" ref="G45" ca="1">IF(ISERROR(MAX(IF($B$3:$B$39="F",G$3:G$39))),"",MAX(IF($B$3:$B$39="F",G$3:G$39)))</f>
        <v>4</v>
      </c>
      <c r="H45" s="233">
        <f t="array" aca="1" ref="H45" ca="1">IF(ISERROR(MAX(IF($B$3:$B$39="F",H$3:H$39))),"",MAX(IF($B$3:$B$39="F",H$3:H$39)))</f>
        <v>1.3125</v>
      </c>
      <c r="I45" s="233">
        <f t="array" aca="1" ref="I45" ca="1">IF(ISERROR(MAX(IF($B$3:$B$39="F",I$3:I$39))),"",MAX(IF($B$3:$B$39="F",I$3:I$39)))</f>
        <v>2.375</v>
      </c>
      <c r="J45" s="572">
        <f t="array" aca="1" ref="J45" ca="1">IF(ISERROR(MAX(IF($B$3:$B$39="F",J$3:J$39))),"",MAX(IF($B$3:$B$39="F",J$3:J$39)))</f>
        <v>6</v>
      </c>
      <c r="K45" s="233">
        <f t="array" aca="1" ref="K45" ca="1">IF(ISERROR(MAX(IF($B$3:$B$39="F",K$3:K$39))),"",MAX(IF($B$3:$B$39="F",K$3:K$39)))</f>
        <v>4.75</v>
      </c>
      <c r="L45" s="233">
        <f t="array" aca="1" ref="L45" ca="1">IF(ISERROR(MAX(IF($B$3:$B$39="F",L$3:L$39))),"",MAX(IF($B$3:$B$39="F",L$3:L$39)))</f>
        <v>2.625</v>
      </c>
      <c r="M45" s="572">
        <f t="array" aca="1" ref="M45" ca="1">IF(ISERROR(MAX(IF($B$3:$B$39="F",M$3:M$39))),"",MAX(IF($B$3:$B$39="F",M$3:M$39)))</f>
        <v>6</v>
      </c>
      <c r="N45" s="233">
        <f t="array" aca="1" ref="N45" ca="1">IF(ISERROR(MAX(IF($B$3:$B$39="F",N$3:N$39))),"",MAX(IF($B$3:$B$39="F",N$3:N$39)))</f>
        <v>0</v>
      </c>
      <c r="O45" s="233">
        <f t="array" aca="1" ref="O45" ca="1">IF(ISERROR(MAX(IF($B$3:$B$39="F",O$3:O$39))),"",MAX(IF($B$3:$B$39="F",O$3:O$39)))</f>
        <v>0</v>
      </c>
      <c r="P45" s="572">
        <f t="array" aca="1" ref="P45" ca="1">IF(ISERROR(MAX(IF($B$3:$B$39="F",P$3:P$39))),"",MAX(IF($B$3:$B$39="F",P$3:P$39)))</f>
        <v>0</v>
      </c>
      <c r="Q45" s="573">
        <f t="array" aca="1" ref="Q45" ca="1">IF(ISERROR(MAX(IF($B$3:$B$39="F",Q$3:Q$39))),"",MAX(IF($B$3:$B$39="F",Q$3:Q$39)))</f>
        <v>5</v>
      </c>
      <c r="R45" s="574">
        <f t="array" aca="1" ref="R45" ca="1">IF(ISERROR(MAX(IF($B$3:$B$39="F",R$3:R$39))),"",MAX(IF($B$3:$B$39="F",R$3:R$39)))</f>
        <v>5</v>
      </c>
      <c r="S45" s="233">
        <f t="array" aca="1" ref="S45" ca="1">IF(ISERROR(MAX(IF($B$3:$B$39="F",S$3:S$39))),"",MAX(IF($B$3:$B$39="F",S$3:S$39)))</f>
        <v>5</v>
      </c>
      <c r="T45" s="572">
        <f t="array" aca="1" ref="T45" ca="1">IF(ISERROR(MAX(IF($B$3:$B$39="F",T$3:T$39))),"",MAX(IF($B$3:$B$39="F",T$3:T$39)))</f>
        <v>4.5</v>
      </c>
    </row>
    <row r="46" spans="1:21" ht="12.75">
      <c r="C46" s="575" t="s">
        <v>112</v>
      </c>
      <c r="D46" s="576">
        <f t="array" aca="1" ref="D46" ca="1">IF(ISERROR(MAX(IF($B$3:$B$39="M",D$3:D$39))),"",MAX(IF($B$3:$B$39="M",D$3:D$39)))</f>
        <v>19</v>
      </c>
      <c r="E46" s="577" t="s">
        <v>112</v>
      </c>
      <c r="F46" s="249">
        <f t="array" ref="F46">IF(ISERROR(MAX(IF($B$3:$B$39="M",F$3:F$39))),"",MAX(IF($B$3:$B$39="M",F$3:F$39)))</f>
        <v>4</v>
      </c>
      <c r="G46" s="249">
        <f t="array" aca="1" ref="G46" ca="1">IF(ISERROR(MAX(IF($B$3:$B$39="M",G$3:G$39))),"",MAX(IF($B$3:$B$39="M",G$3:G$39)))</f>
        <v>3.8</v>
      </c>
      <c r="H46" s="249">
        <f t="array" aca="1" ref="H46" ca="1">IF(ISERROR(MAX(IF($B$3:$B$39="M",H$3:H$39))),"",MAX(IF($B$3:$B$39="M",H$3:H$39)))</f>
        <v>2.4375</v>
      </c>
      <c r="I46" s="249">
        <f t="array" aca="1" ref="I46" ca="1">IF(ISERROR(MAX(IF($B$3:$B$39="M",I$3:I$39))),"",MAX(IF($B$3:$B$39="M",I$3:I$39)))</f>
        <v>2.875</v>
      </c>
      <c r="J46" s="578">
        <f t="array" aca="1" ref="J46" ca="1">IF(ISERROR(MAX(IF($B$3:$B$39="M",J$3:J$39))),"",MAX(IF($B$3:$B$39="M",J$3:J$39)))</f>
        <v>6</v>
      </c>
      <c r="K46" s="249">
        <f t="array" aca="1" ref="K46" ca="1">IF(ISERROR(MAX(IF($B$3:$B$39="M",K$3:K$39))),"",MAX(IF($B$3:$B$39="M",K$3:K$39)))</f>
        <v>5.75</v>
      </c>
      <c r="L46" s="249">
        <f t="array" aca="1" ref="L46" ca="1">IF(ISERROR(MAX(IF($B$3:$B$39="M",L$3:L$39))),"",MAX(IF($B$3:$B$39="M",L$3:L$39)))</f>
        <v>4.875</v>
      </c>
      <c r="M46" s="578">
        <f t="array" aca="1" ref="M46" ca="1">IF(ISERROR(MAX(IF($B$3:$B$39="M",M$3:M$39))),"",MAX(IF($B$3:$B$39="M",M$3:M$39)))</f>
        <v>6</v>
      </c>
      <c r="N46" s="249">
        <f t="array" aca="1" ref="N46" ca="1">IF(ISERROR(MAX(IF($B$3:$B$39="M",N$3:N$39))),"",MAX(IF($B$3:$B$39="M",N$3:N$39)))</f>
        <v>0</v>
      </c>
      <c r="O46" s="249">
        <f t="array" aca="1" ref="O46" ca="1">IF(ISERROR(MAX(IF($B$3:$B$39="M",O$3:O$39))),"",MAX(IF($B$3:$B$39="M",O$3:O$39)))</f>
        <v>0</v>
      </c>
      <c r="P46" s="578">
        <f t="array" aca="1" ref="P46" ca="1">IF(ISERROR(MAX(IF($B$3:$B$39="M",P$3:P$39))),"",MAX(IF($B$3:$B$39="M",P$3:P$39)))</f>
        <v>0</v>
      </c>
      <c r="Q46" s="579">
        <f t="array" aca="1" ref="Q46" ca="1">IF(ISERROR(MAX(IF($B$3:$B$39="M",Q$3:Q$39))),"",MAX(IF($B$3:$B$39="M",Q$3:Q$39)))</f>
        <v>4</v>
      </c>
      <c r="R46" s="580">
        <f t="array" aca="1" ref="R46" ca="1">IF(ISERROR(MAX(IF($B$3:$B$39="M",R$3:R$39))),"",MAX(IF($B$3:$B$39="M",R$3:R$39)))</f>
        <v>5</v>
      </c>
      <c r="S46" s="249">
        <f t="array" aca="1" ref="S46" ca="1">IF(ISERROR(MAX(IF($B$3:$B$39="M",S$3:S$39))),"",MAX(IF($B$3:$B$39="M",S$3:S$39)))</f>
        <v>4.75</v>
      </c>
      <c r="T46" s="578">
        <f t="array" aca="1" ref="T46" ca="1">IF(ISERROR(MAX(IF($B$3:$B$39="M",T$3:T$39))),"",MAX(IF($B$3:$B$39="M",T$3:T$39)))</f>
        <v>4.5</v>
      </c>
    </row>
    <row r="47" spans="1:21" ht="12.75">
      <c r="C47" s="569" t="s">
        <v>205</v>
      </c>
      <c r="D47" s="570">
        <f t="array" aca="1" ref="D47" ca="1">IF(ISERROR(MEDIAN(IF($B$3:$B$39="F",D$3:D$39))),"",MEDIAN(IF($B$3:$B$39="F",D$3:D$39)))</f>
        <v>13</v>
      </c>
      <c r="E47" s="571" t="s">
        <v>205</v>
      </c>
      <c r="F47" s="233">
        <f t="array" ref="F47">IF(ISERROR(MEDIAN(IF($B$3:$B$39="F",F$3:F$39))),"",MEDIAN(IF($B$3:$B$39="F",F$3:F$39)))</f>
        <v>4</v>
      </c>
      <c r="G47" s="233">
        <f t="array" aca="1" ref="G47" ca="1">IF(ISERROR(MEDIAN(IF($B$3:$B$39="F",G$3:G$39))),"",MEDIAN(IF($B$3:$B$39="F",G$3:G$39)))</f>
        <v>3.4</v>
      </c>
      <c r="H47" s="233">
        <f t="array" aca="1" ref="H47" ca="1">IF(ISERROR(MEDIAN(IF($B$3:$B$39="F",H$3:H$39))),"",MEDIAN(IF($B$3:$B$39="F",H$3:H$39)))</f>
        <v>0</v>
      </c>
      <c r="I47" s="233">
        <f t="array" aca="1" ref="I47" ca="1">IF(ISERROR(MEDIAN(IF($B$3:$B$39="F",I$3:I$39))),"",MEDIAN(IF($B$3:$B$39="F",I$3:I$39)))</f>
        <v>1.5</v>
      </c>
      <c r="J47" s="572">
        <f t="array" aca="1" ref="J47" ca="1">IF(ISERROR(MEDIAN(IF($B$3:$B$39="F",J$3:J$39))),"",MEDIAN(IF($B$3:$B$39="F",J$3:J$39)))</f>
        <v>3.75</v>
      </c>
      <c r="K47" s="233">
        <f t="array" aca="1" ref="K47" ca="1">IF(ISERROR(MEDIAN(IF($B$3:$B$39="F",K$3:K$39))),"",MEDIAN(IF($B$3:$B$39="F",K$3:K$39)))</f>
        <v>3</v>
      </c>
      <c r="L47" s="233">
        <f t="array" aca="1" ref="L47" ca="1">IF(ISERROR(MEDIAN(IF($B$3:$B$39="F",L$3:L$39))),"",MEDIAN(IF($B$3:$B$39="F",L$3:L$39)))</f>
        <v>0</v>
      </c>
      <c r="M47" s="572">
        <f t="array" aca="1" ref="M47" ca="1">IF(ISERROR(MEDIAN(IF($B$3:$B$39="F",M$3:M$39))),"",MEDIAN(IF($B$3:$B$39="F",M$3:M$39)))</f>
        <v>3.75</v>
      </c>
      <c r="N47" s="233">
        <f t="array" aca="1" ref="N47" ca="1">IF(ISERROR(MEDIAN(IF($B$3:$B$39="F",N$3:N$39))),"",MEDIAN(IF($B$3:$B$39="F",N$3:N$39)))</f>
        <v>0</v>
      </c>
      <c r="O47" s="233">
        <f t="array" aca="1" ref="O47" ca="1">IF(ISERROR(MEDIAN(IF($B$3:$B$39="F",O$3:O$39))),"",MEDIAN(IF($B$3:$B$39="F",O$3:O$39)))</f>
        <v>0</v>
      </c>
      <c r="P47" s="572">
        <f t="array" aca="1" ref="P47" ca="1">IF(ISERROR(MEDIAN(IF($B$3:$B$39="F",P$3:P$39))),"",MEDIAN(IF($B$3:$B$39="F",P$3:P$39)))</f>
        <v>0</v>
      </c>
      <c r="Q47" s="573">
        <f t="array" aca="1" ref="Q47" ca="1">IF(ISERROR(MEDIAN(IF($B$3:$B$39="F",Q$3:Q$39))),"",MEDIAN(IF($B$3:$B$39="F",Q$3:Q$39)))</f>
        <v>4</v>
      </c>
      <c r="R47" s="574">
        <f t="array" aca="1" ref="R47" ca="1">IF(ISERROR(MEDIAN(IF($B$3:$B$39="F",R$3:R$39))),"",MEDIAN(IF($B$3:$B$39="F",R$3:R$39)))</f>
        <v>4</v>
      </c>
      <c r="S47" s="233">
        <f t="array" aca="1" ref="S47" ca="1">IF(ISERROR(MEDIAN(IF($B$3:$B$39="F",S$3:S$39))),"",MEDIAN(IF($B$3:$B$39="F",S$3:S$39)))</f>
        <v>4.25</v>
      </c>
      <c r="T47" s="572">
        <f t="array" aca="1" ref="T47" ca="1">IF(ISERROR(MEDIAN(IF($B$3:$B$39="F",T$3:T$39))),"",MEDIAN(IF($B$3:$B$39="F",T$3:T$39)))</f>
        <v>3.75</v>
      </c>
    </row>
    <row r="48" spans="1:21" ht="13.5" thickBot="1">
      <c r="C48" s="581" t="s">
        <v>206</v>
      </c>
      <c r="D48" s="582">
        <f t="array" aca="1" ref="D48" ca="1">IF(ISERROR(MEDIAN(IF($B$3:$B$39="M",D$3:D$39))),"",MEDIAN(IF($B$3:$B$39="M",D$3:D$39)))</f>
        <v>14</v>
      </c>
      <c r="E48" s="583" t="s">
        <v>206</v>
      </c>
      <c r="F48" s="584">
        <f t="array" ref="F48">IF(ISERROR(MEDIAN(IF($B$3:$B$39="M",F$3:F$39))),"",MEDIAN(IF($B$3:$B$39="M",F$3:F$39)))</f>
        <v>4</v>
      </c>
      <c r="G48" s="584">
        <f t="array" aca="1" ref="G48" ca="1">IF(ISERROR(MEDIAN(IF($B$3:$B$39="M",G$3:G$39))),"",MEDIAN(IF($B$3:$B$39="M",G$3:G$39)))</f>
        <v>3.4000000000000004</v>
      </c>
      <c r="H48" s="584">
        <f t="array" aca="1" ref="H48" ca="1">IF(ISERROR(MEDIAN(IF($B$3:$B$39="M",H$3:H$39))),"",MEDIAN(IF($B$3:$B$39="M",H$3:H$39)))</f>
        <v>0.5625</v>
      </c>
      <c r="I48" s="584">
        <f t="array" aca="1" ref="I48" ca="1">IF(ISERROR(MEDIAN(IF($B$3:$B$39="M",I$3:I$39))),"",MEDIAN(IF($B$3:$B$39="M",I$3:I$39)))</f>
        <v>1.625</v>
      </c>
      <c r="J48" s="585">
        <f t="array" aca="1" ref="J48" ca="1">IF(ISERROR(MEDIAN(IF($B$3:$B$39="M",J$3:J$39))),"",MEDIAN(IF($B$3:$B$39="M",J$3:J$39)))</f>
        <v>5.8125</v>
      </c>
      <c r="K48" s="584">
        <f t="array" aca="1" ref="K48" ca="1">IF(ISERROR(MEDIAN(IF($B$3:$B$39="M",K$3:K$39))),"",MEDIAN(IF($B$3:$B$39="M",K$3:K$39)))</f>
        <v>3.25</v>
      </c>
      <c r="L48" s="584">
        <f t="array" aca="1" ref="L48" ca="1">IF(ISERROR(MEDIAN(IF($B$3:$B$39="M",L$3:L$39))),"",MEDIAN(IF($B$3:$B$39="M",L$3:L$39)))</f>
        <v>1.125</v>
      </c>
      <c r="M48" s="585">
        <f t="array" aca="1" ref="M48" ca="1">IF(ISERROR(MEDIAN(IF($B$3:$B$39="M",M$3:M$39))),"",MEDIAN(IF($B$3:$B$39="M",M$3:M$39)))</f>
        <v>5.8125</v>
      </c>
      <c r="N48" s="584">
        <f t="array" aca="1" ref="N48" ca="1">IF(ISERROR(MEDIAN(IF($B$3:$B$39="M",N$3:N$39))),"",MEDIAN(IF($B$3:$B$39="M",N$3:N$39)))</f>
        <v>0</v>
      </c>
      <c r="O48" s="584">
        <f t="array" aca="1" ref="O48" ca="1">IF(ISERROR(MEDIAN(IF($B$3:$B$39="M",O$3:O$39))),"",MEDIAN(IF($B$3:$B$39="M",O$3:O$39)))</f>
        <v>0</v>
      </c>
      <c r="P48" s="585">
        <f t="array" aca="1" ref="P48" ca="1">IF(ISERROR(MEDIAN(IF($B$3:$B$39="M",P$3:P$39))),"",MEDIAN(IF($B$3:$B$39="M",P$3:P$39)))</f>
        <v>0</v>
      </c>
      <c r="Q48" s="579">
        <f t="array" aca="1" ref="Q48" ca="1">IF(ISERROR(MEDIAN(IF($B$3:$B$39="M",Q$3:Q$39))),"",MEDIAN(IF($B$3:$B$39="M",Q$3:Q$39)))</f>
        <v>2.5</v>
      </c>
      <c r="R48" s="586">
        <f t="array" aca="1" ref="R48" ca="1">IF(ISERROR(MEDIAN(IF($B$3:$B$39="M",R$3:R$39))),"",MEDIAN(IF($B$3:$B$39="M",R$3:R$39)))</f>
        <v>4</v>
      </c>
      <c r="S48" s="584">
        <f t="array" aca="1" ref="S48" ca="1">IF(ISERROR(MEDIAN(IF($B$3:$B$39="M",S$3:S$39))),"",MEDIAN(IF($B$3:$B$39="M",S$3:S$39)))</f>
        <v>4.25</v>
      </c>
      <c r="T48" s="585">
        <f t="array" aca="1" ref="T48" ca="1">IF(ISERROR(MEDIAN(IF($B$3:$B$39="M",T$3:T$39))),"",MEDIAN(IF($B$3:$B$39="M",T$3:T$39)))</f>
        <v>4.125</v>
      </c>
    </row>
    <row r="49" ht="12.75"/>
  </sheetData>
  <sheetProtection sheet="1" objects="1" scenarios="1" formatColumns="0" selectLockedCells="1"/>
  <mergeCells count="8">
    <mergeCell ref="Q1:T1"/>
    <mergeCell ref="U1:U2"/>
    <mergeCell ref="A1:C1"/>
    <mergeCell ref="D1:D2"/>
    <mergeCell ref="E1:E2"/>
    <mergeCell ref="F1:J1"/>
    <mergeCell ref="K1:M1"/>
    <mergeCell ref="N1:P1"/>
  </mergeCells>
  <dataValidations count="1">
    <dataValidation type="list" allowBlank="1" showInputMessage="1" showErrorMessage="1" sqref="C3:C39" xr:uid="{9F21B8DF-50CA-454F-BD35-BBD14FB1165C}">
      <formula1>"OUI,NON"</formula1>
    </dataValidation>
  </dataValidations>
  <pageMargins left="0.69930555555555596" right="0.69930555555555596" top="0.75" bottom="0.75" header="0.3" footer="0.3"/>
  <pageSetup paperSize="9" orientation="landscape" horizontalDpi="1200" verticalDpi="120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21139D-9537-4718-940D-B1D3B8C0A2D7}">
          <x14:formula1>
            <xm:f>Barème!$AL$20:$AL$24</xm:f>
          </x14:formula1>
          <xm:sqref>E3:E39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75F63-AC9C-4F3F-AD92-A6D8B5E43936}">
  <sheetPr>
    <pageSetUpPr fitToPage="1"/>
  </sheetPr>
  <dimension ref="A1:AA62"/>
  <sheetViews>
    <sheetView showGridLines="0" showRowColHeaders="0" topLeftCell="B1" zoomScaleNormal="100" workbookViewId="0">
      <selection activeCell="O62" sqref="O62"/>
    </sheetView>
  </sheetViews>
  <sheetFormatPr baseColWidth="10" defaultColWidth="0" defaultRowHeight="15" customHeight="1" zeroHeight="1"/>
  <cols>
    <col min="1" max="27" width="10.7109375" style="20" customWidth="1"/>
    <col min="28" max="16384" width="11.42578125" style="20" hidden="1"/>
  </cols>
  <sheetData>
    <row r="1" spans="8:20" ht="15.75" thickBot="1"/>
    <row r="2" spans="8:20" ht="27" thickBot="1">
      <c r="H2" s="656" t="s">
        <v>51</v>
      </c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8"/>
    </row>
    <row r="3" spans="8:20"/>
    <row r="4" spans="8:20"/>
    <row r="5" spans="8:20"/>
    <row r="6" spans="8:20"/>
    <row r="7" spans="8:20"/>
    <row r="8" spans="8:20"/>
    <row r="9" spans="8:20"/>
    <row r="10" spans="8:20"/>
    <row r="11" spans="8:20"/>
    <row r="12" spans="8:20"/>
    <row r="13" spans="8:20"/>
    <row r="14" spans="8:20"/>
    <row r="15" spans="8:20"/>
    <row r="16" spans="8:20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 spans="11:20"/>
    <row r="34" spans="11:20"/>
    <row r="35" spans="11:20"/>
    <row r="36" spans="11:20"/>
    <row r="37" spans="11:20"/>
    <row r="38" spans="11:20"/>
    <row r="39" spans="11:20"/>
    <row r="40" spans="11:20">
      <c r="T40" s="47" t="s">
        <v>52</v>
      </c>
    </row>
    <row r="41" spans="11:20">
      <c r="S41" s="75" t="s">
        <v>53</v>
      </c>
    </row>
    <row r="42" spans="11:20">
      <c r="T42" s="76" t="s">
        <v>54</v>
      </c>
    </row>
    <row r="43" spans="11:20">
      <c r="S43" s="75" t="s">
        <v>55</v>
      </c>
    </row>
    <row r="44" spans="11:20">
      <c r="T44" s="76" t="s">
        <v>56</v>
      </c>
    </row>
    <row r="45" spans="11:20">
      <c r="L45" s="77" t="s">
        <v>57</v>
      </c>
      <c r="S45" s="78" t="s">
        <v>58</v>
      </c>
    </row>
    <row r="46" spans="11:20">
      <c r="K46" s="65" t="s">
        <v>59</v>
      </c>
      <c r="T46" s="76" t="s">
        <v>60</v>
      </c>
    </row>
    <row r="47" spans="11:20">
      <c r="K47" s="76" t="s">
        <v>61</v>
      </c>
      <c r="S47" s="75" t="s">
        <v>62</v>
      </c>
    </row>
    <row r="48" spans="11:20">
      <c r="K48" s="78" t="s">
        <v>63</v>
      </c>
      <c r="T48" s="76" t="s">
        <v>64</v>
      </c>
    </row>
    <row r="49" spans="2:19">
      <c r="K49" s="76" t="s">
        <v>65</v>
      </c>
    </row>
    <row r="50" spans="2:19">
      <c r="K50" s="79" t="s">
        <v>66</v>
      </c>
    </row>
    <row r="51" spans="2:19">
      <c r="K51" s="76" t="s">
        <v>67</v>
      </c>
    </row>
    <row r="52" spans="2:19">
      <c r="K52" s="79" t="s">
        <v>68</v>
      </c>
    </row>
    <row r="53" spans="2:19">
      <c r="K53" s="76" t="s">
        <v>69</v>
      </c>
    </row>
    <row r="54" spans="2:19">
      <c r="K54" s="78" t="s">
        <v>70</v>
      </c>
    </row>
    <row r="55" spans="2:19">
      <c r="C55" s="77" t="s">
        <v>71</v>
      </c>
      <c r="K55" s="76" t="s">
        <v>72</v>
      </c>
    </row>
    <row r="56" spans="2:19">
      <c r="B56" s="78" t="s">
        <v>73</v>
      </c>
      <c r="K56" s="78" t="s">
        <v>74</v>
      </c>
    </row>
    <row r="57" spans="2:19">
      <c r="B57" s="80" t="s">
        <v>75</v>
      </c>
      <c r="K57" s="76" t="s">
        <v>76</v>
      </c>
    </row>
    <row r="58" spans="2:19">
      <c r="B58" s="78" t="s">
        <v>77</v>
      </c>
      <c r="K58" s="78" t="s">
        <v>78</v>
      </c>
      <c r="R58" s="77" t="s">
        <v>79</v>
      </c>
    </row>
    <row r="59" spans="2:19">
      <c r="B59" s="80" t="s">
        <v>80</v>
      </c>
      <c r="K59" s="76" t="s">
        <v>81</v>
      </c>
      <c r="S59" s="76" t="s">
        <v>82</v>
      </c>
    </row>
    <row r="60" spans="2:19">
      <c r="S60" s="80" t="s">
        <v>83</v>
      </c>
    </row>
    <row r="61" spans="2:19">
      <c r="B61" s="659" t="s">
        <v>84</v>
      </c>
      <c r="C61" s="659"/>
      <c r="D61" s="659"/>
      <c r="E61" s="659"/>
      <c r="F61" s="659"/>
      <c r="G61" s="659"/>
      <c r="H61" s="659"/>
      <c r="I61" s="659"/>
      <c r="J61" s="659"/>
      <c r="K61" s="659"/>
      <c r="L61" s="659"/>
      <c r="M61" s="659"/>
      <c r="N61" s="659"/>
      <c r="S61" s="80" t="s">
        <v>85</v>
      </c>
    </row>
    <row r="62" spans="2:19">
      <c r="B62" s="659"/>
      <c r="C62" s="659"/>
      <c r="D62" s="659"/>
      <c r="E62" s="659"/>
      <c r="F62" s="659"/>
      <c r="G62" s="659"/>
      <c r="H62" s="659"/>
      <c r="I62" s="659"/>
      <c r="J62" s="659"/>
      <c r="K62" s="659"/>
      <c r="L62" s="659"/>
      <c r="M62" s="659"/>
      <c r="N62" s="659"/>
    </row>
  </sheetData>
  <sheetProtection sheet="1" objects="1" scenarios="1" selectLockedCells="1" selectUnlockedCells="1"/>
  <mergeCells count="2">
    <mergeCell ref="H2:T2"/>
    <mergeCell ref="B61:N62"/>
  </mergeCells>
  <hyperlinks>
    <hyperlink ref="K47" r:id="rId1" xr:uid="{61C0E698-38F9-4C86-A5AD-CB2DE6109C72}"/>
    <hyperlink ref="K51" r:id="rId2" xr:uid="{59C758FE-228C-44E7-9505-A829213762F5}"/>
    <hyperlink ref="K55" r:id="rId3" xr:uid="{89C1A540-79B6-4FBF-A4E0-C3C9720B25B3}"/>
    <hyperlink ref="T42" r:id="rId4" xr:uid="{578866B0-52BE-4C7E-B1B3-D382E1B7C9C3}"/>
    <hyperlink ref="T44" r:id="rId5" xr:uid="{011B4476-B701-4E6D-99F9-007200226F5C}"/>
    <hyperlink ref="K49" r:id="rId6" xr:uid="{2ED3909D-8082-4537-B993-D95A0084D6B4}"/>
    <hyperlink ref="K53" r:id="rId7" xr:uid="{F20027C7-08F0-4D09-BDCB-39332BB4DC2D}"/>
    <hyperlink ref="T46" r:id="rId8" xr:uid="{92712715-0ADF-49DD-B39E-4A2B4BDA7508}"/>
    <hyperlink ref="K57" r:id="rId9" xr:uid="{C5F8BF22-55CF-45DD-94E0-94D16EB7E3AA}"/>
    <hyperlink ref="K59" r:id="rId10" xr:uid="{0BBFAD17-3DDA-48A3-8B79-12C6C88A0E19}"/>
    <hyperlink ref="T48" r:id="rId11" xr:uid="{D11E8D20-8B58-4FC3-B6F0-40737C37302B}"/>
    <hyperlink ref="B57" r:id="rId12" xr:uid="{57DC945B-C591-4EEF-8186-EB01287F394E}"/>
    <hyperlink ref="B59" r:id="rId13" xr:uid="{028AF3AD-43A5-438B-80EF-2B26EA079D18}"/>
    <hyperlink ref="S59" r:id="rId14" xr:uid="{002869B3-5431-49E4-A6AD-2366DCBBAE2C}"/>
    <hyperlink ref="S60" r:id="rId15" xr:uid="{10DD21E9-456E-4599-B27B-2C0967CB49DF}"/>
  </hyperlinks>
  <printOptions horizontalCentered="1" verticalCentered="1"/>
  <pageMargins left="0.19685039370078741" right="0.19685039370078741" top="0.35433070866141736" bottom="0.35433070866141736" header="0.19685039370078741" footer="0.19685039370078741"/>
  <pageSetup paperSize="8" scale="74" fitToHeight="0" orientation="landscape" horizontalDpi="1200" verticalDpi="1200" r:id="rId16"/>
  <headerFooter>
    <oddFooter>&amp;LStéphane HOAREAU&amp;R2024</oddFooter>
  </headerFooter>
  <drawing r:id="rId17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33E7A-19EB-45A3-89FD-C40C598A99AB}">
  <sheetPr>
    <pageSetUpPr fitToPage="1"/>
  </sheetPr>
  <dimension ref="B1:BL50"/>
  <sheetViews>
    <sheetView showGridLines="0" zoomScale="80" zoomScaleNormal="80" workbookViewId="0">
      <pane xSplit="7" ySplit="3" topLeftCell="I7" activePane="bottomRight" state="frozen"/>
      <selection activeCell="G3" sqref="G3"/>
      <selection pane="topRight" activeCell="G3" sqref="G3"/>
      <selection pane="bottomLeft" activeCell="G3" sqref="G3"/>
      <selection pane="bottomRight" activeCell="I8" sqref="I8"/>
    </sheetView>
  </sheetViews>
  <sheetFormatPr baseColWidth="10" defaultColWidth="11.42578125" defaultRowHeight="0" customHeight="1" zeroHeight="1"/>
  <cols>
    <col min="1" max="1" width="2.85546875" style="24" customWidth="1"/>
    <col min="2" max="2" width="35" style="24" bestFit="1" customWidth="1"/>
    <col min="3" max="3" width="4.85546875" style="24" customWidth="1"/>
    <col min="4" max="4" width="4" style="24" bestFit="1" customWidth="1"/>
    <col min="5" max="6" width="4.28515625" style="24" bestFit="1" customWidth="1"/>
    <col min="7" max="7" width="5.85546875" style="81" customWidth="1"/>
    <col min="8" max="8" width="6.5703125" style="24" customWidth="1"/>
    <col min="9" max="11" width="7.7109375" style="24" customWidth="1"/>
    <col min="12" max="12" width="7.28515625" style="24" customWidth="1"/>
    <col min="13" max="13" width="7.7109375" style="24" customWidth="1"/>
    <col min="14" max="14" width="7.140625" style="260" hidden="1" customWidth="1"/>
    <col min="15" max="15" width="10.140625" style="72" customWidth="1"/>
    <col min="16" max="16" width="10.28515625" style="82" customWidth="1"/>
    <col min="17" max="18" width="13.5703125" style="82" hidden="1" customWidth="1"/>
    <col min="19" max="19" width="7.42578125" style="261" hidden="1" customWidth="1"/>
    <col min="20" max="20" width="5.85546875" style="24" customWidth="1"/>
    <col min="21" max="23" width="7.28515625" style="24" customWidth="1"/>
    <col min="24" max="24" width="6.42578125" style="24" customWidth="1"/>
    <col min="25" max="25" width="6.85546875" style="24" customWidth="1"/>
    <col min="26" max="26" width="7.140625" style="24" hidden="1" customWidth="1"/>
    <col min="27" max="27" width="10.140625" style="72" customWidth="1"/>
    <col min="28" max="28" width="10.28515625" style="83" bestFit="1" customWidth="1"/>
    <col min="29" max="29" width="7.7109375" style="82" hidden="1" customWidth="1"/>
    <col min="30" max="30" width="9" style="82" hidden="1" customWidth="1"/>
    <col min="31" max="31" width="5.85546875" style="82" hidden="1" customWidth="1"/>
    <col min="32" max="32" width="6.28515625" style="24" customWidth="1"/>
    <col min="33" max="36" width="7.85546875" style="24" customWidth="1"/>
    <col min="37" max="37" width="6.42578125" style="24" bestFit="1" customWidth="1"/>
    <col min="38" max="38" width="8" style="24" hidden="1" customWidth="1"/>
    <col min="39" max="39" width="10.7109375" style="24" customWidth="1"/>
    <col min="40" max="40" width="11.7109375" style="72" customWidth="1"/>
    <col min="41" max="41" width="7.140625" style="24" customWidth="1"/>
    <col min="42" max="42" width="7.7109375" style="82" hidden="1" customWidth="1"/>
    <col min="43" max="43" width="9" style="82" hidden="1" customWidth="1"/>
    <col min="44" max="44" width="5.85546875" style="82" hidden="1" customWidth="1"/>
    <col min="45" max="45" width="5.7109375" style="24" customWidth="1"/>
    <col min="46" max="48" width="6" style="24" bestFit="1" customWidth="1"/>
    <col min="49" max="49" width="6.42578125" style="24" bestFit="1" customWidth="1"/>
    <col min="50" max="50" width="5.42578125" style="24" bestFit="1" customWidth="1"/>
    <col min="51" max="51" width="6.42578125" style="24" hidden="1" customWidth="1"/>
    <col min="52" max="52" width="11.28515625" style="24" customWidth="1"/>
    <col min="53" max="53" width="11.42578125" style="24" customWidth="1"/>
    <col min="54" max="54" width="5" style="24" bestFit="1" customWidth="1"/>
    <col min="55" max="55" width="6.42578125" style="24" hidden="1" customWidth="1"/>
    <col min="56" max="56" width="4.5703125" style="24" hidden="1" customWidth="1"/>
    <col min="57" max="57" width="6.42578125" style="24" hidden="1" customWidth="1"/>
    <col min="58" max="58" width="5.28515625" style="24" customWidth="1"/>
    <col min="59" max="59" width="7.85546875" style="24" hidden="1" customWidth="1"/>
    <col min="60" max="60" width="6.42578125" style="24" hidden="1" customWidth="1"/>
    <col min="61" max="61" width="7.140625" style="24" hidden="1" customWidth="1"/>
    <col min="62" max="62" width="10.7109375" style="24" hidden="1" customWidth="1"/>
    <col min="63" max="63" width="6.42578125" style="24" hidden="1" customWidth="1"/>
    <col min="64" max="64" width="7.140625" style="24" hidden="1" customWidth="1"/>
    <col min="65" max="16384" width="11.42578125" style="24"/>
  </cols>
  <sheetData>
    <row r="1" spans="2:64" ht="15" customHeight="1" thickBot="1">
      <c r="N1" s="72"/>
      <c r="S1" s="72"/>
      <c r="AG1" s="660" t="s">
        <v>240</v>
      </c>
      <c r="AH1" s="660"/>
      <c r="AI1" s="660"/>
      <c r="AJ1" s="660"/>
      <c r="AK1" s="660"/>
      <c r="AL1" s="660"/>
      <c r="AM1" s="660"/>
      <c r="AN1" s="660"/>
      <c r="AO1" s="660"/>
      <c r="AP1" s="660"/>
      <c r="AQ1" s="660"/>
      <c r="AR1" s="660"/>
      <c r="AS1" s="660"/>
    </row>
    <row r="2" spans="2:64" ht="19.5" customHeight="1" thickBot="1">
      <c r="B2" s="669" t="s">
        <v>86</v>
      </c>
      <c r="C2" s="670"/>
      <c r="D2" s="671" t="s">
        <v>87</v>
      </c>
      <c r="E2" s="672"/>
      <c r="F2" s="672"/>
      <c r="G2" s="672"/>
      <c r="H2" s="673"/>
      <c r="I2" s="674">
        <v>10</v>
      </c>
      <c r="J2" s="675"/>
      <c r="K2" s="675"/>
      <c r="L2" s="675"/>
      <c r="M2" s="675"/>
      <c r="N2" s="675"/>
      <c r="O2" s="675"/>
      <c r="P2" s="675"/>
      <c r="Q2" s="675"/>
      <c r="R2" s="675"/>
      <c r="S2" s="675"/>
      <c r="T2" s="676"/>
      <c r="U2" s="677">
        <v>15</v>
      </c>
      <c r="V2" s="677"/>
      <c r="W2" s="677"/>
      <c r="X2" s="677"/>
      <c r="Y2" s="677"/>
      <c r="Z2" s="677"/>
      <c r="AA2" s="677"/>
      <c r="AB2" s="677"/>
      <c r="AC2" s="677"/>
      <c r="AD2" s="677"/>
      <c r="AE2" s="677"/>
      <c r="AF2" s="677"/>
      <c r="AG2" s="678">
        <v>30</v>
      </c>
      <c r="AH2" s="677"/>
      <c r="AI2" s="677"/>
      <c r="AJ2" s="677"/>
      <c r="AK2" s="677"/>
      <c r="AL2" s="677"/>
      <c r="AM2" s="677"/>
      <c r="AN2" s="677"/>
      <c r="AO2" s="677"/>
      <c r="AP2" s="677"/>
      <c r="AQ2" s="677"/>
      <c r="AR2" s="677"/>
      <c r="AS2" s="679"/>
      <c r="AT2" s="678">
        <v>40</v>
      </c>
      <c r="AU2" s="677"/>
      <c r="AV2" s="677"/>
      <c r="AW2" s="677"/>
      <c r="AX2" s="677"/>
      <c r="AY2" s="677"/>
      <c r="AZ2" s="677"/>
      <c r="BA2" s="677"/>
      <c r="BB2" s="677"/>
      <c r="BC2" s="677"/>
      <c r="BD2" s="677"/>
      <c r="BE2" s="677"/>
      <c r="BF2" s="679"/>
      <c r="BG2" s="661">
        <v>25</v>
      </c>
      <c r="BH2" s="662"/>
      <c r="BI2" s="663"/>
      <c r="BJ2" s="664">
        <v>35</v>
      </c>
      <c r="BK2" s="665"/>
      <c r="BL2" s="666"/>
    </row>
    <row r="3" spans="2:64" s="116" customFormat="1" ht="22.5" customHeight="1" thickBot="1">
      <c r="B3" s="667" t="s">
        <v>88</v>
      </c>
      <c r="C3" s="668"/>
      <c r="D3" s="84" t="s">
        <v>89</v>
      </c>
      <c r="E3" s="84" t="s">
        <v>90</v>
      </c>
      <c r="F3" s="84" t="s">
        <v>120</v>
      </c>
      <c r="G3" s="85" t="s">
        <v>91</v>
      </c>
      <c r="H3" s="86" t="s">
        <v>92</v>
      </c>
      <c r="I3" s="87" t="s">
        <v>93</v>
      </c>
      <c r="J3" s="88" t="s">
        <v>93</v>
      </c>
      <c r="K3" s="88" t="s">
        <v>93</v>
      </c>
      <c r="L3" s="88" t="s">
        <v>93</v>
      </c>
      <c r="M3" s="99" t="str">
        <f>$AK$3</f>
        <v>Mini.</v>
      </c>
      <c r="N3" s="90" t="s">
        <v>94</v>
      </c>
      <c r="O3" s="91" t="s">
        <v>95</v>
      </c>
      <c r="P3" s="92" t="s">
        <v>245</v>
      </c>
      <c r="Q3" s="93" t="s">
        <v>96</v>
      </c>
      <c r="R3" s="94" t="s">
        <v>97</v>
      </c>
      <c r="S3" s="95" t="s">
        <v>98</v>
      </c>
      <c r="T3" s="96" t="s">
        <v>99</v>
      </c>
      <c r="U3" s="97" t="s">
        <v>93</v>
      </c>
      <c r="V3" s="98" t="s">
        <v>93</v>
      </c>
      <c r="W3" s="98" t="s">
        <v>93</v>
      </c>
      <c r="X3" s="98" t="s">
        <v>93</v>
      </c>
      <c r="Y3" s="99" t="str">
        <f>$AK$3</f>
        <v>Mini.</v>
      </c>
      <c r="Z3" s="100" t="s">
        <v>94</v>
      </c>
      <c r="AA3" s="100" t="s">
        <v>95</v>
      </c>
      <c r="AB3" s="92" t="s">
        <v>244</v>
      </c>
      <c r="AC3" s="101" t="s">
        <v>96</v>
      </c>
      <c r="AD3" s="102" t="s">
        <v>97</v>
      </c>
      <c r="AE3" s="103" t="s">
        <v>98</v>
      </c>
      <c r="AF3" s="99" t="s">
        <v>99</v>
      </c>
      <c r="AG3" s="104" t="s">
        <v>93</v>
      </c>
      <c r="AH3" s="98" t="s">
        <v>93</v>
      </c>
      <c r="AI3" s="98" t="s">
        <v>93</v>
      </c>
      <c r="AJ3" s="98" t="s">
        <v>93</v>
      </c>
      <c r="AK3" s="89" t="s">
        <v>237</v>
      </c>
      <c r="AL3" s="100" t="s">
        <v>94</v>
      </c>
      <c r="AM3" s="100" t="s">
        <v>95</v>
      </c>
      <c r="AN3" s="92" t="s">
        <v>242</v>
      </c>
      <c r="AO3" s="105" t="s">
        <v>214</v>
      </c>
      <c r="AP3" s="102" t="s">
        <v>96</v>
      </c>
      <c r="AQ3" s="102" t="s">
        <v>97</v>
      </c>
      <c r="AR3" s="102" t="s">
        <v>98</v>
      </c>
      <c r="AS3" s="99" t="s">
        <v>99</v>
      </c>
      <c r="AT3" s="106" t="s">
        <v>93</v>
      </c>
      <c r="AU3" s="107" t="s">
        <v>93</v>
      </c>
      <c r="AV3" s="108" t="s">
        <v>93</v>
      </c>
      <c r="AW3" s="107" t="s">
        <v>93</v>
      </c>
      <c r="AX3" s="99" t="str">
        <f>$AK$3</f>
        <v>Mini.</v>
      </c>
      <c r="AY3" s="109" t="s">
        <v>94</v>
      </c>
      <c r="AZ3" s="110" t="s">
        <v>95</v>
      </c>
      <c r="BA3" s="109" t="s">
        <v>243</v>
      </c>
      <c r="BB3" s="109" t="s">
        <v>215</v>
      </c>
      <c r="BC3" s="111" t="s">
        <v>96</v>
      </c>
      <c r="BD3" s="111" t="s">
        <v>100</v>
      </c>
      <c r="BE3" s="111" t="s">
        <v>98</v>
      </c>
      <c r="BF3" s="112" t="s">
        <v>99</v>
      </c>
      <c r="BG3" s="113" t="s">
        <v>101</v>
      </c>
      <c r="BH3" s="109" t="s">
        <v>94</v>
      </c>
      <c r="BI3" s="114" t="s">
        <v>95</v>
      </c>
      <c r="BJ3" s="115" t="s">
        <v>102</v>
      </c>
      <c r="BK3" s="109" t="s">
        <v>94</v>
      </c>
      <c r="BL3" s="114" t="s">
        <v>95</v>
      </c>
    </row>
    <row r="4" spans="2:64" ht="24" customHeight="1">
      <c r="B4" s="117" t="str">
        <f>IF(Liste!B3&lt;&gt;"",Liste!B3,"")</f>
        <v>A</v>
      </c>
      <c r="C4" s="118" t="str">
        <f>IF(Liste!C3&lt;&gt;"",Liste!C3,"")</f>
        <v>F</v>
      </c>
      <c r="D4" s="119">
        <f>IF($B4&lt;&gt;"",COUNTA($I4:$L4),"")</f>
        <v>0</v>
      </c>
      <c r="E4" s="119">
        <f t="shared" ref="E4:E40" si="0">IF($B4&lt;&gt;"",COUNTA($U4:$X4),"")</f>
        <v>0</v>
      </c>
      <c r="F4" s="119">
        <f t="shared" ref="F4:F40" si="1">IF($B4&lt;&gt;"",COUNTA($AG4:$AJ4),"")</f>
        <v>0</v>
      </c>
      <c r="G4" s="120">
        <f t="shared" ref="G4:G40" si="2">IF($B4&lt;&gt;"",COUNTA($AT4:$AW4),"")</f>
        <v>0</v>
      </c>
      <c r="H4" s="121" t="str">
        <f>IF(AND(B4&lt;&gt;"",SUM(E4:G4)&gt;0),SUM(AF4,AS4,BF4)/15*20,"")</f>
        <v/>
      </c>
      <c r="I4" s="122"/>
      <c r="J4" s="123"/>
      <c r="K4" s="123"/>
      <c r="L4" s="123"/>
      <c r="M4" s="124" t="str">
        <f>IF(COUNTA(I4:L4)&gt;1,IF($M$3="Moy.",ROUND(AVERAGE(SMALL(I4:L4,{1;2})),1),ROUND(MIN(I4:L4),1)),IF(COUNTA(I4:L4)=1,ROUND(MIN(I4:L4),1),""))</f>
        <v/>
      </c>
      <c r="N4" s="125" t="str">
        <f>IF(M4="","",ROUND($I$2/M4,1))</f>
        <v/>
      </c>
      <c r="O4" s="126" t="str">
        <f>IF(M4="","",(N4*3600)/1000)</f>
        <v/>
      </c>
      <c r="P4" s="127" t="str">
        <f>IF(M4&lt;&gt;"",N4/M4,"")</f>
        <v/>
      </c>
      <c r="Q4" s="128" t="str">
        <f t="shared" ref="Q4:Q40" ca="1" si="3">IF(M4="","",VLOOKUP(M4,INDIRECT($C4&amp;"10m"),1))</f>
        <v/>
      </c>
      <c r="R4" s="129" t="str">
        <f t="shared" ref="R4:R8" ca="1" si="4">IFERROR(INDEX(INDIRECT($C4&amp;"10m"),MATCH($M4,INDIRECT($C4&amp;"10m"))+1),"")</f>
        <v/>
      </c>
      <c r="S4" s="158" t="str">
        <f t="shared" ref="S4:S8" ca="1" si="5">IF(R4="",Q4,IF(M4=Q4,Q4,R4))</f>
        <v/>
      </c>
      <c r="T4" s="130" t="str">
        <f t="shared" ref="T4:T40" si="6">IF(M4="","",IF($C4="F",VLOOKUP(S4,F_10m,5),VLOOKUP(S4,M_10m,3)))</f>
        <v/>
      </c>
      <c r="U4" s="131"/>
      <c r="V4" s="132"/>
      <c r="W4" s="132"/>
      <c r="X4" s="132"/>
      <c r="Y4" s="133" t="str">
        <f>IF(COUNTA(U4:X4)&gt;1,IF($Y$3="Moy.",ROUND(AVERAGE(SMALL(U4:X4,{1;2})),1),ROUND(MIN(U4:X4),1)),IF(COUNTA(U4:X4)=1,ROUND(MIN(U4:X4),1),""))</f>
        <v/>
      </c>
      <c r="Z4" s="134" t="str">
        <f>IFERROR(IF(Y4="","",ROUND($U$2/Y4,1)),"")</f>
        <v/>
      </c>
      <c r="AA4" s="126" t="str">
        <f>IFERROR(IF(Y4="","",(Z4*3.6)),"")</f>
        <v/>
      </c>
      <c r="AB4" s="127" t="str">
        <f t="shared" ref="AB4:AB40" si="7">IF(Y4&lt;&gt;"",(Z4-N4)/(Y4-M4),"")</f>
        <v/>
      </c>
      <c r="AC4" s="135" t="str">
        <f t="shared" ref="AC4:AC40" ca="1" si="8">IF(Y4="","",VLOOKUP(Y4,INDIRECT($C4&amp;"15m"),1))</f>
        <v/>
      </c>
      <c r="AD4" s="136" t="str">
        <f t="shared" ref="AD4:AD40" ca="1" si="9">IFERROR(INDEX(INDIRECT($C4&amp;"15m"),MATCH($Y4,INDIRECT($C4&amp;"15m"))+1),"")</f>
        <v/>
      </c>
      <c r="AE4" s="137" t="str">
        <f t="shared" ref="AE4:AE40" ca="1" si="10">IF(AD4="",AC4,IF(Y4=AC4,AC4,AD4))</f>
        <v/>
      </c>
      <c r="AF4" s="121" t="str">
        <f t="shared" ref="AF4:AF40" si="11">IF(Y4="","",IF($C4="F",VLOOKUP(AE4,F_15m,5),VLOOKUP(AE4,M_15m,3)))</f>
        <v/>
      </c>
      <c r="AG4" s="138"/>
      <c r="AH4" s="139"/>
      <c r="AI4" s="139"/>
      <c r="AJ4" s="139"/>
      <c r="AK4" s="133" t="str">
        <f>IF(COUNTA(AG4:AJ4)&gt;1,IF($AK$3="Moy.",ROUND(AVERAGE(SMALL(AG4:AJ4,{1;2})),1),ROUND(MIN(AG4:AJ4),1)),IF(COUNTA(AG4:AJ4)=1,ROUND(MIN(AG4:AJ4),1),""))</f>
        <v/>
      </c>
      <c r="AL4" s="134" t="str">
        <f>IFERROR(IF(AK4="","",ROUND($AG$2/AK4,1)),"")</f>
        <v/>
      </c>
      <c r="AM4" s="126" t="str">
        <f>IFERROR(IF(AK4="","",(AL4*3600)/1000),"")</f>
        <v/>
      </c>
      <c r="AN4" s="127" t="str">
        <f>IF(AK4&lt;&gt;"",(AL4-Z4)/(AK4-Y4),"")</f>
        <v/>
      </c>
      <c r="AO4" s="140" t="str">
        <f t="shared" ref="AO4:AO40" si="12">IFERROR(AM4/AA4-1,"")</f>
        <v/>
      </c>
      <c r="AP4" s="135" t="str">
        <f t="shared" ref="AP4:AP40" ca="1" si="13">IF(AK4="","",VLOOKUP(AK4,INDIRECT($C4&amp;"40m"),1))</f>
        <v/>
      </c>
      <c r="AQ4" s="136" t="str">
        <f t="shared" ref="AQ4:AQ40" ca="1" si="14">IFERROR(INDEX(INDIRECT($C4&amp;"40m"),MATCH($AK4,INDIRECT($C4&amp;"40m"))+1),"")</f>
        <v/>
      </c>
      <c r="AR4" s="141" t="str">
        <f t="shared" ref="AR4:AR40" ca="1" si="15">IF(AQ4="",AP4,IF(AK4=AP4,AP4,AQ4))</f>
        <v/>
      </c>
      <c r="AS4" s="121" t="str">
        <f t="shared" ref="AS4:AS40" si="16">IF(AK4="","",IF(C4="F",VLOOKUP(AR4,F_40m,5),VLOOKUP(AR4,M_40m,3)))</f>
        <v/>
      </c>
      <c r="AT4" s="142"/>
      <c r="AU4" s="143"/>
      <c r="AV4" s="143"/>
      <c r="AW4" s="143"/>
      <c r="AX4" s="133" t="str">
        <f>IF(COUNTA(AT4:AW4)&gt;1,IF($AX$3="Moy.",ROUND(AVERAGE(SMALL(AT4:AW4,{1;2})),1),ROUND(MIN(AT4:AW4),1)),IF(COUNTA(AT4:AW4)=1,ROUND(MIN(AT4:AW4),1),""))</f>
        <v/>
      </c>
      <c r="AY4" s="134" t="str">
        <f>IFERROR(IF(AX4="","",ROUND($AT$2/AX4,1)),"")</f>
        <v/>
      </c>
      <c r="AZ4" s="126" t="str">
        <f>IFERROR(IF(AX4="","",(AY4*3600)/1000),"")</f>
        <v/>
      </c>
      <c r="BA4" s="127" t="str">
        <f>IF(AX4&lt;&gt;"",(AY4-AL4)/(AX4-AK4),"")</f>
        <v/>
      </c>
      <c r="BB4" s="140" t="str">
        <f t="shared" ref="BB4:BB40" si="17">IFERROR(AZ4/AM4-1,"")</f>
        <v/>
      </c>
      <c r="BC4" s="135" t="str">
        <f t="shared" ref="BC4:BC40" ca="1" si="18">IF(AX4="","",VLOOKUP(AX4,INDIRECT($C4&amp;"50m"),1))</f>
        <v/>
      </c>
      <c r="BD4" s="136" t="str">
        <f t="shared" ref="BD4:BD40" ca="1" si="19">IFERROR(INDEX(INDIRECT($C4&amp;"50m"),MATCH($AX4,INDIRECT($C4&amp;"50m"))+1),"")</f>
        <v/>
      </c>
      <c r="BE4" s="141" t="str">
        <f t="shared" ref="BE4:BE40" ca="1" si="20">IF(BD4="",BC4,IF(AX4=BC4,BC4,BD4))</f>
        <v/>
      </c>
      <c r="BF4" s="121" t="str">
        <f t="shared" ref="BF4:BF40" si="21">IF(AX4="","",IF($C4="F",VLOOKUP(BE4,F_50m,5),VLOOKUP(BE4,M_50m,3)))</f>
        <v/>
      </c>
      <c r="BG4" s="144" t="str">
        <f t="shared" ref="BG4:BG40" si="22">IFERROR(AX4-Y4,"")</f>
        <v/>
      </c>
      <c r="BH4" s="134" t="str">
        <f>IF(BG4="","",ROUND($BG$2/BG4,1))</f>
        <v/>
      </c>
      <c r="BI4" s="145" t="str">
        <f>IF(BG4="","",(BH4*3600)/1000)</f>
        <v/>
      </c>
      <c r="BJ4" s="146" t="str">
        <f t="shared" ref="BJ4:BJ40" si="23">IFERROR((AX4+AK4)/2,"")</f>
        <v/>
      </c>
      <c r="BK4" s="134" t="str">
        <f>IF(BJ4="","",ROUND($BJ$2/BJ4,1))</f>
        <v/>
      </c>
      <c r="BL4" s="145" t="str">
        <f>IF(BJ4="","",(BK4*3600)/1000)</f>
        <v/>
      </c>
    </row>
    <row r="5" spans="2:64" ht="24" customHeight="1">
      <c r="B5" s="147" t="str">
        <f>IF(Liste!B4&lt;&gt;"",Liste!B4,"")</f>
        <v>B</v>
      </c>
      <c r="C5" s="148" t="str">
        <f>IF(Liste!C4&lt;&gt;"",Liste!C4,"")</f>
        <v>M</v>
      </c>
      <c r="D5" s="119">
        <f t="shared" ref="D5:D40" si="24">IF($B5&lt;&gt;"",COUNTA($I5:$L5),"")</f>
        <v>1</v>
      </c>
      <c r="E5" s="119">
        <f t="shared" si="0"/>
        <v>1</v>
      </c>
      <c r="F5" s="119">
        <f t="shared" si="1"/>
        <v>1</v>
      </c>
      <c r="G5" s="120">
        <f t="shared" si="2"/>
        <v>1</v>
      </c>
      <c r="H5" s="149">
        <f ca="1">IF(AND(B5&lt;&gt;"",SUM(E5:G5)&gt;0),SUM(AF5,AS5,BF5)/15*20,"")</f>
        <v>11.333333333333332</v>
      </c>
      <c r="I5" s="150">
        <v>2.35</v>
      </c>
      <c r="J5" s="151"/>
      <c r="K5" s="152"/>
      <c r="L5" s="152"/>
      <c r="M5" s="153">
        <f>IF(COUNTA(I5:L5)&gt;1,IF($M$3="Moy.",ROUND(AVERAGE(SMALL(I5:L5,{1;2})),1),ROUND(MIN(I5:L5),1)),IF(COUNTA(I5:L5)=1,ROUND(MIN(I5:L5),1),""))</f>
        <v>2.4</v>
      </c>
      <c r="N5" s="154">
        <f>IF(M5="","",ROUND($I$2/M5,1))</f>
        <v>4.2</v>
      </c>
      <c r="O5" s="155">
        <f t="shared" ref="O5:O40" si="25">IF(M5="","",(N5*3600)/1000)</f>
        <v>15.12</v>
      </c>
      <c r="P5" s="156">
        <f>IF(M5&lt;&gt;"",N5/M5,"")</f>
        <v>1.7500000000000002</v>
      </c>
      <c r="Q5" s="157">
        <f t="shared" ca="1" si="3"/>
        <v>2.3000000000000003</v>
      </c>
      <c r="R5" s="129">
        <f t="shared" ca="1" si="4"/>
        <v>2.5000000000000004</v>
      </c>
      <c r="S5" s="158">
        <f t="shared" ca="1" si="5"/>
        <v>2.5000000000000004</v>
      </c>
      <c r="T5" s="159">
        <f t="shared" ca="1" si="6"/>
        <v>2</v>
      </c>
      <c r="U5" s="160">
        <v>3.17</v>
      </c>
      <c r="V5" s="161"/>
      <c r="W5" s="162"/>
      <c r="X5" s="162"/>
      <c r="Y5" s="163">
        <f>IF(COUNTA(U5:X5)&gt;1,IF($Y$3="Moy.",ROUND(AVERAGE(SMALL(U5:X5,{1;2})),1),ROUND(MIN(U5:X5),1)),IF(COUNTA(U5:X5)=1,ROUND(MIN(U5:X5),1),""))</f>
        <v>3.2</v>
      </c>
      <c r="Z5" s="164">
        <f>IFERROR(IF(Y5="","",ROUND($U$2/Y5,1)),"")</f>
        <v>4.7</v>
      </c>
      <c r="AA5" s="155">
        <f>IFERROR(IF(Y5="","",(Z5*3600)/1000),"")</f>
        <v>16.920000000000002</v>
      </c>
      <c r="AB5" s="156">
        <f t="shared" si="7"/>
        <v>0.62499999999999978</v>
      </c>
      <c r="AC5" s="165">
        <f t="shared" ca="1" si="8"/>
        <v>3.2</v>
      </c>
      <c r="AD5" s="136">
        <f t="shared" ca="1" si="9"/>
        <v>3.5</v>
      </c>
      <c r="AE5" s="166">
        <f t="shared" ca="1" si="10"/>
        <v>3.2</v>
      </c>
      <c r="AF5" s="149">
        <f t="shared" ca="1" si="11"/>
        <v>3</v>
      </c>
      <c r="AG5" s="167">
        <v>5.6</v>
      </c>
      <c r="AH5" s="168"/>
      <c r="AI5" s="168"/>
      <c r="AJ5" s="168"/>
      <c r="AK5" s="163">
        <f>IF(COUNTA(AG5:AJ5)&gt;1,IF($AK$3="Moy.",ROUND(AVERAGE(SMALL(AG5:AJ5,{1;2})),1),ROUND(MIN(AG5:AJ5),1)),IF(COUNTA(AG5:AJ5)=1,ROUND(MIN(AG5:AJ5),1),""))</f>
        <v>5.6</v>
      </c>
      <c r="AL5" s="164">
        <f>IFERROR(IF(AK5="","",ROUND($AG$2/AK5,1)),"")</f>
        <v>5.4</v>
      </c>
      <c r="AM5" s="155">
        <f>IFERROR(IF(AK5="","",(AL5*3600)/1000),"")</f>
        <v>19.440000000000001</v>
      </c>
      <c r="AN5" s="156">
        <f>IF(AK5&lt;&gt;"",(AL5-Z5)/(AK5-Y5),"")</f>
        <v>0.2916666666666668</v>
      </c>
      <c r="AO5" s="169">
        <f t="shared" si="12"/>
        <v>0.14893617021276584</v>
      </c>
      <c r="AP5" s="165">
        <f t="shared" ca="1" si="13"/>
        <v>5.4999999999999973</v>
      </c>
      <c r="AQ5" s="136">
        <f t="shared" ca="1" si="14"/>
        <v>5.6999999999999975</v>
      </c>
      <c r="AR5" s="136">
        <f t="shared" ca="1" si="15"/>
        <v>5.6999999999999975</v>
      </c>
      <c r="AS5" s="149">
        <f t="shared" ca="1" si="16"/>
        <v>2.75</v>
      </c>
      <c r="AT5" s="170">
        <v>7.56</v>
      </c>
      <c r="AU5" s="171"/>
      <c r="AV5" s="171"/>
      <c r="AW5" s="171"/>
      <c r="AX5" s="163">
        <f>IF(COUNTA(AT5:AW5)&gt;1,IF($AX$3="Moy.",ROUND(AVERAGE(SMALL(AT5:AW5,{1;2})),1),ROUND(MIN(AT5:AW5),1)),IF(COUNTA(AT5:AW5)=1,ROUND(MIN(AT5:AW5),1),""))</f>
        <v>7.6</v>
      </c>
      <c r="AY5" s="164">
        <f>IFERROR(IF(AX5="","",ROUND($AT$2/AX5,1)),"")</f>
        <v>5.3</v>
      </c>
      <c r="AZ5" s="155">
        <f>IFERROR(IF(AX5="","",(AY5*3600)/1000),"")</f>
        <v>19.079999999999998</v>
      </c>
      <c r="BA5" s="156">
        <f>IF(AX5&lt;&gt;"",(AY5-AL5)/(AX5-AK5),"")</f>
        <v>-5.0000000000000266E-2</v>
      </c>
      <c r="BB5" s="169">
        <f t="shared" si="17"/>
        <v>-1.8518518518518712E-2</v>
      </c>
      <c r="BC5" s="165">
        <f t="shared" ca="1" si="18"/>
        <v>7.3000000000000016</v>
      </c>
      <c r="BD5" s="136">
        <f t="shared" ca="1" si="19"/>
        <v>7.6000000000000014</v>
      </c>
      <c r="BE5" s="136">
        <f t="shared" ca="1" si="20"/>
        <v>7.6000000000000014</v>
      </c>
      <c r="BF5" s="149">
        <f t="shared" ca="1" si="21"/>
        <v>2.75</v>
      </c>
      <c r="BG5" s="172">
        <f t="shared" si="22"/>
        <v>4.3999999999999995</v>
      </c>
      <c r="BH5" s="164">
        <f>IF(BG5="","",ROUND($BG$2/BG5,1))</f>
        <v>5.7</v>
      </c>
      <c r="BI5" s="173">
        <f>IF(BG5="","",(BH5*3600)/1000)</f>
        <v>20.52</v>
      </c>
      <c r="BJ5" s="174">
        <f t="shared" si="23"/>
        <v>6.6</v>
      </c>
      <c r="BK5" s="164">
        <f>IF(BJ5="","",ROUND($BJ$2/BJ5,1))</f>
        <v>5.3</v>
      </c>
      <c r="BL5" s="173">
        <f>IF(BJ5="","",(BK5*3600)/1000)</f>
        <v>19.079999999999998</v>
      </c>
    </row>
    <row r="6" spans="2:64" ht="24" customHeight="1">
      <c r="B6" s="117" t="str">
        <f>IF(Liste!B5&lt;&gt;"",Liste!B5,"")</f>
        <v>C</v>
      </c>
      <c r="C6" s="118" t="str">
        <f>IF(Liste!C5&lt;&gt;"",Liste!C5,"")</f>
        <v>M</v>
      </c>
      <c r="D6" s="119">
        <f t="shared" si="24"/>
        <v>1</v>
      </c>
      <c r="E6" s="119">
        <f t="shared" si="0"/>
        <v>1</v>
      </c>
      <c r="F6" s="119">
        <f t="shared" si="1"/>
        <v>1</v>
      </c>
      <c r="G6" s="120">
        <f t="shared" si="2"/>
        <v>1</v>
      </c>
      <c r="H6" s="121">
        <f t="shared" ref="H6:H40" ca="1" si="26">IF(AND(B6&lt;&gt;"",SUM(E6:G6)&gt;0),SUM(AF6,AS6,BF6)/15*20,"")</f>
        <v>17.333333333333336</v>
      </c>
      <c r="I6" s="122">
        <v>2.15</v>
      </c>
      <c r="J6" s="123"/>
      <c r="K6" s="123"/>
      <c r="L6" s="123"/>
      <c r="M6" s="124">
        <f>IF(COUNTA(I6:L6)&gt;1,IF($M$3="Moy.",ROUND(AVERAGE(SMALL(I6:L6,{1;2})),1),ROUND(MIN(I6:L6),1)),IF(COUNTA(I6:L6)=1,ROUND(MIN(I6:L6),1),""))</f>
        <v>2.2000000000000002</v>
      </c>
      <c r="N6" s="125">
        <f t="shared" ref="N6:N40" si="27">IF(M6="","",ROUND($I$2/M6,1))</f>
        <v>4.5</v>
      </c>
      <c r="O6" s="126">
        <f t="shared" si="25"/>
        <v>16.2</v>
      </c>
      <c r="P6" s="127">
        <f t="shared" ref="P6:P40" si="28">IF(M6&lt;&gt;"",N6/M6,"")</f>
        <v>2.0454545454545454</v>
      </c>
      <c r="Q6" s="128">
        <f t="shared" ca="1" si="3"/>
        <v>2.1</v>
      </c>
      <c r="R6" s="129">
        <f t="shared" ca="1" si="4"/>
        <v>2.3000000000000003</v>
      </c>
      <c r="S6" s="158">
        <f t="shared" ca="1" si="5"/>
        <v>2.3000000000000003</v>
      </c>
      <c r="T6" s="130">
        <f t="shared" ca="1" si="6"/>
        <v>3</v>
      </c>
      <c r="U6" s="175">
        <v>2.85</v>
      </c>
      <c r="V6" s="176"/>
      <c r="W6" s="176"/>
      <c r="X6" s="176"/>
      <c r="Y6" s="133">
        <f>IF(COUNTA(U6:X6)&gt;1,IF($Y$3="Moy.",ROUND(AVERAGE(SMALL(U6:X6,{1;2})),1),ROUND(MIN(U6:X6),1)),IF(COUNTA(U6:X6)=1,ROUND(MIN(U6:X6),1),""))</f>
        <v>2.9</v>
      </c>
      <c r="Z6" s="134">
        <f t="shared" ref="Z6:Z40" si="29">IFERROR(IF(Y6="","",ROUND($U$2/Y6,1)),"")</f>
        <v>5.2</v>
      </c>
      <c r="AA6" s="126">
        <f t="shared" ref="AA6:AA40" si="30">IFERROR(IF(Y6="","",(Z6*3600)/1000),"")</f>
        <v>18.72</v>
      </c>
      <c r="AB6" s="127">
        <f t="shared" si="7"/>
        <v>1.0000000000000007</v>
      </c>
      <c r="AC6" s="135">
        <f t="shared" ca="1" si="8"/>
        <v>2.8</v>
      </c>
      <c r="AD6" s="136">
        <f t="shared" ca="1" si="9"/>
        <v>3</v>
      </c>
      <c r="AE6" s="137">
        <f t="shared" ca="1" si="10"/>
        <v>3</v>
      </c>
      <c r="AF6" s="121">
        <f t="shared" ca="1" si="11"/>
        <v>4</v>
      </c>
      <c r="AG6" s="177">
        <v>4.8600000000000003</v>
      </c>
      <c r="AH6" s="176"/>
      <c r="AI6" s="176"/>
      <c r="AJ6" s="176"/>
      <c r="AK6" s="133">
        <f>IF(COUNTA(AG6:AJ6)&gt;1,IF($AK$3="Moy.",ROUND(AVERAGE(SMALL(AG6:AJ6,{1;2})),1),ROUND(MIN(AG6:AJ6),1)),IF(COUNTA(AG6:AJ6)=1,ROUND(MIN(AG6:AJ6),1),""))</f>
        <v>4.9000000000000004</v>
      </c>
      <c r="AL6" s="134">
        <f t="shared" ref="AL6:AL40" si="31">IFERROR(IF(AK6="","",ROUND($AG$2/AK6,1)),"")</f>
        <v>6.1</v>
      </c>
      <c r="AM6" s="126">
        <f t="shared" ref="AM6:AM40" si="32">IFERROR(IF(AK6="","",(AL6*3600)/1000),"")</f>
        <v>21.96</v>
      </c>
      <c r="AN6" s="127">
        <f t="shared" ref="AN6:AN40" si="33">IF(AK6&lt;&gt;"",(AL6-Z6)/(AK6-Y6),"")</f>
        <v>0.44999999999999962</v>
      </c>
      <c r="AO6" s="140">
        <f t="shared" si="12"/>
        <v>0.17307692307692313</v>
      </c>
      <c r="AP6" s="135">
        <f t="shared" ca="1" si="13"/>
        <v>4.8999999999999995</v>
      </c>
      <c r="AQ6" s="136">
        <f t="shared" ca="1" si="14"/>
        <v>4.9999999999999991</v>
      </c>
      <c r="AR6" s="141">
        <f t="shared" ca="1" si="15"/>
        <v>4.8999999999999995</v>
      </c>
      <c r="AS6" s="121">
        <f t="shared" ca="1" si="16"/>
        <v>4.5</v>
      </c>
      <c r="AT6" s="178">
        <v>6.11</v>
      </c>
      <c r="AU6" s="179"/>
      <c r="AV6" s="179"/>
      <c r="AW6" s="179"/>
      <c r="AX6" s="133">
        <f>IF(COUNTA(AT6:AW6)&gt;1,IF($AX$3="Moy.",ROUND(AVERAGE(SMALL(AT6:AW6,{1;2})),1),ROUND(MIN(AT6:AW6),1)),IF(COUNTA(AT6:AW6)=1,ROUND(MIN(AT6:AW6),1),""))</f>
        <v>6.1</v>
      </c>
      <c r="AY6" s="134">
        <f t="shared" ref="AY6:AY40" si="34">IFERROR(IF(AX6="","",ROUND($AT$2/AX6,1)),"")</f>
        <v>6.6</v>
      </c>
      <c r="AZ6" s="126">
        <f t="shared" ref="AZ6:AZ40" si="35">IFERROR(IF(AX6="","",(AY6*3600)/1000),"")</f>
        <v>23.76</v>
      </c>
      <c r="BA6" s="127">
        <f t="shared" ref="BA6:BA40" si="36">IF(AX6&lt;&gt;"",(AY6-AL6)/(AX6-AK6),"")</f>
        <v>0.41666666666666691</v>
      </c>
      <c r="BB6" s="140">
        <f t="shared" si="17"/>
        <v>8.1967213114754189E-2</v>
      </c>
      <c r="BC6" s="135">
        <f t="shared" ca="1" si="18"/>
        <v>5.9</v>
      </c>
      <c r="BD6" s="136">
        <f t="shared" ca="1" si="19"/>
        <v>6.1000000000000005</v>
      </c>
      <c r="BE6" s="141">
        <f t="shared" ca="1" si="20"/>
        <v>6.1000000000000005</v>
      </c>
      <c r="BF6" s="121">
        <f t="shared" ca="1" si="21"/>
        <v>4.5</v>
      </c>
      <c r="BG6" s="144">
        <f t="shared" si="22"/>
        <v>3.1999999999999997</v>
      </c>
      <c r="BH6" s="134">
        <f t="shared" ref="BH6:BH40" si="37">IF(BG6="","",ROUND($BG$2/BG6,1))</f>
        <v>7.8</v>
      </c>
      <c r="BI6" s="145">
        <f>IF(BG6="","",(BH6*3600)/1000)</f>
        <v>28.08</v>
      </c>
      <c r="BJ6" s="146">
        <f t="shared" si="23"/>
        <v>5.5</v>
      </c>
      <c r="BK6" s="134">
        <f t="shared" ref="BK6:BK40" si="38">IF(BJ6="","",ROUND($BJ$2/BJ6,1))</f>
        <v>6.4</v>
      </c>
      <c r="BL6" s="145">
        <f>IF(BJ6="","",(BK6*3600)/1000)</f>
        <v>23.04</v>
      </c>
    </row>
    <row r="7" spans="2:64" ht="24" customHeight="1">
      <c r="B7" s="147" t="str">
        <f>IF(Liste!B6&lt;&gt;"",Liste!B6,"")</f>
        <v>D</v>
      </c>
      <c r="C7" s="148" t="str">
        <f>IF(Liste!C6&lt;&gt;"",Liste!C6,"")</f>
        <v>M</v>
      </c>
      <c r="D7" s="119">
        <f t="shared" si="24"/>
        <v>1</v>
      </c>
      <c r="E7" s="119">
        <f t="shared" si="0"/>
        <v>1</v>
      </c>
      <c r="F7" s="119">
        <f t="shared" si="1"/>
        <v>1</v>
      </c>
      <c r="G7" s="120">
        <f t="shared" si="2"/>
        <v>1</v>
      </c>
      <c r="H7" s="149">
        <f t="shared" ca="1" si="26"/>
        <v>19</v>
      </c>
      <c r="I7" s="150">
        <v>2.1</v>
      </c>
      <c r="J7" s="151"/>
      <c r="K7" s="152"/>
      <c r="L7" s="152"/>
      <c r="M7" s="153">
        <f>IF(COUNTA(I7:L7)&gt;1,IF($M$3="Moy.",ROUND(AVERAGE(SMALL(I7:L7,{1;2})),1),ROUND(MIN(I7:L7),1)),IF(COUNTA(I7:L7)=1,ROUND(MIN(I7:L7),1),""))</f>
        <v>2.1</v>
      </c>
      <c r="N7" s="154">
        <f t="shared" si="27"/>
        <v>4.8</v>
      </c>
      <c r="O7" s="155">
        <f t="shared" si="25"/>
        <v>17.28</v>
      </c>
      <c r="P7" s="156">
        <f t="shared" si="28"/>
        <v>2.2857142857142856</v>
      </c>
      <c r="Q7" s="157">
        <f t="shared" ca="1" si="3"/>
        <v>2.1</v>
      </c>
      <c r="R7" s="129">
        <f t="shared" ca="1" si="4"/>
        <v>2.3000000000000003</v>
      </c>
      <c r="S7" s="158">
        <f t="shared" ca="1" si="5"/>
        <v>2.1</v>
      </c>
      <c r="T7" s="159">
        <f t="shared" ca="1" si="6"/>
        <v>4</v>
      </c>
      <c r="U7" s="160">
        <v>2.8</v>
      </c>
      <c r="V7" s="161"/>
      <c r="W7" s="162"/>
      <c r="X7" s="162"/>
      <c r="Y7" s="163">
        <f>IF(COUNTA(U7:X7)&gt;1,IF($Y$3="Moy.",ROUND(AVERAGE(SMALL(U7:X7,{1;2})),1),ROUND(MIN(U7:X7),1)),IF(COUNTA(U7:X7)=1,ROUND(MIN(U7:X7),1),""))</f>
        <v>2.8</v>
      </c>
      <c r="Z7" s="164">
        <f t="shared" si="29"/>
        <v>5.4</v>
      </c>
      <c r="AA7" s="155">
        <f t="shared" si="30"/>
        <v>19.440000000000001</v>
      </c>
      <c r="AB7" s="156">
        <f t="shared" si="7"/>
        <v>0.85714285714285821</v>
      </c>
      <c r="AC7" s="165">
        <f t="shared" ca="1" si="8"/>
        <v>2.8</v>
      </c>
      <c r="AD7" s="136">
        <f t="shared" ca="1" si="9"/>
        <v>3</v>
      </c>
      <c r="AE7" s="166">
        <f t="shared" ca="1" si="10"/>
        <v>2.8</v>
      </c>
      <c r="AF7" s="149">
        <f t="shared" ca="1" si="11"/>
        <v>5</v>
      </c>
      <c r="AG7" s="180">
        <v>4.84</v>
      </c>
      <c r="AH7" s="181"/>
      <c r="AI7" s="162"/>
      <c r="AJ7" s="162"/>
      <c r="AK7" s="163">
        <f>IF(COUNTA(AG7:AJ7)&gt;1,IF($AK$3="Moy.",ROUND(AVERAGE(SMALL(AG7:AJ7,{1;2})),1),ROUND(MIN(AG7:AJ7),1)),IF(COUNTA(AG7:AJ7)=1,ROUND(MIN(AG7:AJ7),1),""))</f>
        <v>4.8</v>
      </c>
      <c r="AL7" s="164">
        <f t="shared" si="31"/>
        <v>6.3</v>
      </c>
      <c r="AM7" s="155">
        <f t="shared" si="32"/>
        <v>22.68</v>
      </c>
      <c r="AN7" s="156">
        <f t="shared" si="33"/>
        <v>0.44999999999999973</v>
      </c>
      <c r="AO7" s="169">
        <f t="shared" si="12"/>
        <v>0.16666666666666652</v>
      </c>
      <c r="AP7" s="165">
        <f t="shared" ca="1" si="13"/>
        <v>4.8</v>
      </c>
      <c r="AQ7" s="136">
        <f t="shared" ca="1" si="14"/>
        <v>4.8999999999999995</v>
      </c>
      <c r="AR7" s="136">
        <f t="shared" ca="1" si="15"/>
        <v>4.8</v>
      </c>
      <c r="AS7" s="149">
        <f t="shared" ca="1" si="16"/>
        <v>4.75</v>
      </c>
      <c r="AT7" s="170">
        <v>6.11</v>
      </c>
      <c r="AU7" s="182"/>
      <c r="AV7" s="171"/>
      <c r="AW7" s="171"/>
      <c r="AX7" s="163">
        <f>IF(COUNTA(AT7:AW7)&gt;1,IF($AX$3="Moy.",ROUND(AVERAGE(SMALL(AT7:AW7,{1;2})),1),ROUND(MIN(AT7:AW7),1)),IF(COUNTA(AT7:AW7)=1,ROUND(MIN(AT7:AW7),1),""))</f>
        <v>6.1</v>
      </c>
      <c r="AY7" s="164">
        <f t="shared" si="34"/>
        <v>6.6</v>
      </c>
      <c r="AZ7" s="155">
        <f t="shared" si="35"/>
        <v>23.76</v>
      </c>
      <c r="BA7" s="156">
        <f t="shared" si="36"/>
        <v>0.23076923076923067</v>
      </c>
      <c r="BB7" s="169">
        <f t="shared" si="17"/>
        <v>4.7619047619047672E-2</v>
      </c>
      <c r="BC7" s="165">
        <f t="shared" ca="1" si="18"/>
        <v>5.9</v>
      </c>
      <c r="BD7" s="136">
        <f t="shared" ca="1" si="19"/>
        <v>6.1000000000000005</v>
      </c>
      <c r="BE7" s="136">
        <f t="shared" ca="1" si="20"/>
        <v>6.1000000000000005</v>
      </c>
      <c r="BF7" s="149">
        <f t="shared" ca="1" si="21"/>
        <v>4.5</v>
      </c>
      <c r="BG7" s="172">
        <f t="shared" si="22"/>
        <v>3.3</v>
      </c>
      <c r="BH7" s="164">
        <f t="shared" si="37"/>
        <v>7.6</v>
      </c>
      <c r="BI7" s="173">
        <f t="shared" ref="BI7:BI40" si="39">IF(BG7="","",(BH7*3600)/1000)</f>
        <v>27.36</v>
      </c>
      <c r="BJ7" s="174">
        <f t="shared" si="23"/>
        <v>5.4499999999999993</v>
      </c>
      <c r="BK7" s="164">
        <f t="shared" si="38"/>
        <v>6.4</v>
      </c>
      <c r="BL7" s="173">
        <f t="shared" ref="BL7:BL40" si="40">IF(BJ7="","",(BK7*3600)/1000)</f>
        <v>23.04</v>
      </c>
    </row>
    <row r="8" spans="2:64" ht="24" customHeight="1">
      <c r="B8" s="117" t="str">
        <f>IF(Liste!B7&lt;&gt;"",Liste!B7,"")</f>
        <v>E</v>
      </c>
      <c r="C8" s="118" t="str">
        <f>IF(Liste!C7&lt;&gt;"",Liste!C7,"")</f>
        <v>M</v>
      </c>
      <c r="D8" s="119">
        <f t="shared" si="24"/>
        <v>1</v>
      </c>
      <c r="E8" s="119">
        <f t="shared" si="0"/>
        <v>1</v>
      </c>
      <c r="F8" s="119">
        <f t="shared" si="1"/>
        <v>1</v>
      </c>
      <c r="G8" s="120">
        <f t="shared" si="2"/>
        <v>1</v>
      </c>
      <c r="H8" s="121">
        <f t="shared" ca="1" si="26"/>
        <v>9.6666666666666661</v>
      </c>
      <c r="I8" s="122">
        <v>2.4500000000000002</v>
      </c>
      <c r="J8" s="123"/>
      <c r="K8" s="123"/>
      <c r="L8" s="123"/>
      <c r="M8" s="124">
        <f>IF(COUNTA(I8:L8)&gt;1,IF($M$3="Moy.",ROUND(AVERAGE(SMALL(I8:L8,{1;2})),1),ROUND(MIN(I8:L8),1)),IF(COUNTA(I8:L8)=1,ROUND(MIN(I8:L8),1),""))</f>
        <v>2.5</v>
      </c>
      <c r="N8" s="125">
        <f t="shared" si="27"/>
        <v>4</v>
      </c>
      <c r="O8" s="126">
        <f t="shared" si="25"/>
        <v>14.4</v>
      </c>
      <c r="P8" s="127">
        <f t="shared" si="28"/>
        <v>1.6</v>
      </c>
      <c r="Q8" s="128">
        <f t="shared" ca="1" si="3"/>
        <v>2.3000000000000003</v>
      </c>
      <c r="R8" s="129">
        <f t="shared" ca="1" si="4"/>
        <v>2.5000000000000004</v>
      </c>
      <c r="S8" s="158">
        <f t="shared" ca="1" si="5"/>
        <v>2.5000000000000004</v>
      </c>
      <c r="T8" s="130">
        <f t="shared" ca="1" si="6"/>
        <v>2</v>
      </c>
      <c r="U8" s="175">
        <v>3.29</v>
      </c>
      <c r="V8" s="176"/>
      <c r="W8" s="176"/>
      <c r="X8" s="176"/>
      <c r="Y8" s="133">
        <f>IF(COUNTA(U8:X8)&gt;1,IF($Y$3="Moy.",ROUND(AVERAGE(SMALL(U8:X8,{1;2})),1),ROUND(MIN(U8:X8),1)),IF(COUNTA(U8:X8)=1,ROUND(MIN(U8:X8),1),""))</f>
        <v>3.3</v>
      </c>
      <c r="Z8" s="134">
        <f t="shared" si="29"/>
        <v>4.5</v>
      </c>
      <c r="AA8" s="126">
        <f t="shared" si="30"/>
        <v>16.2</v>
      </c>
      <c r="AB8" s="127">
        <f t="shared" si="7"/>
        <v>0.62500000000000011</v>
      </c>
      <c r="AC8" s="135">
        <f t="shared" ca="1" si="8"/>
        <v>3.2</v>
      </c>
      <c r="AD8" s="136">
        <f t="shared" ca="1" si="9"/>
        <v>3.5</v>
      </c>
      <c r="AE8" s="137">
        <f t="shared" ca="1" si="10"/>
        <v>3.5</v>
      </c>
      <c r="AF8" s="121">
        <f t="shared" ca="1" si="11"/>
        <v>2</v>
      </c>
      <c r="AG8" s="177">
        <v>5.83</v>
      </c>
      <c r="AH8" s="176"/>
      <c r="AI8" s="176"/>
      <c r="AJ8" s="176"/>
      <c r="AK8" s="133">
        <f>IF(COUNTA(AG8:AJ8)&gt;1,IF($AK$3="Moy.",ROUND(AVERAGE(SMALL(AG8:AJ8,{1;2})),1),ROUND(MIN(AG8:AJ8),1)),IF(COUNTA(AG8:AJ8)=1,ROUND(MIN(AG8:AJ8),1),""))</f>
        <v>5.8</v>
      </c>
      <c r="AL8" s="134">
        <f t="shared" si="31"/>
        <v>5.2</v>
      </c>
      <c r="AM8" s="126">
        <f t="shared" si="32"/>
        <v>18.72</v>
      </c>
      <c r="AN8" s="127">
        <f t="shared" si="33"/>
        <v>0.28000000000000008</v>
      </c>
      <c r="AO8" s="140">
        <f t="shared" si="12"/>
        <v>0.15555555555555545</v>
      </c>
      <c r="AP8" s="135">
        <f t="shared" ca="1" si="13"/>
        <v>5.6999999999999975</v>
      </c>
      <c r="AQ8" s="136">
        <f t="shared" ca="1" si="14"/>
        <v>5.8999999999999977</v>
      </c>
      <c r="AR8" s="141">
        <f t="shared" ca="1" si="15"/>
        <v>5.8999999999999977</v>
      </c>
      <c r="AS8" s="121">
        <f t="shared" ca="1" si="16"/>
        <v>2.5</v>
      </c>
      <c r="AT8" s="178">
        <v>7.56</v>
      </c>
      <c r="AU8" s="179"/>
      <c r="AV8" s="179"/>
      <c r="AW8" s="179"/>
      <c r="AX8" s="133">
        <f>IF(COUNTA(AT8:AW8)&gt;1,IF($AX$3="Moy.",ROUND(AVERAGE(SMALL(AT8:AW8,{1;2})),1),ROUND(MIN(AT8:AW8),1)),IF(COUNTA(AT8:AW8)=1,ROUND(MIN(AT8:AW8),1),""))</f>
        <v>7.6</v>
      </c>
      <c r="AY8" s="134">
        <f t="shared" si="34"/>
        <v>5.3</v>
      </c>
      <c r="AZ8" s="126">
        <f t="shared" si="35"/>
        <v>19.079999999999998</v>
      </c>
      <c r="BA8" s="127">
        <f t="shared" si="36"/>
        <v>5.5555555555555365E-2</v>
      </c>
      <c r="BB8" s="140">
        <f t="shared" si="17"/>
        <v>1.9230769230769162E-2</v>
      </c>
      <c r="BC8" s="135">
        <f t="shared" ca="1" si="18"/>
        <v>7.3000000000000016</v>
      </c>
      <c r="BD8" s="136">
        <f t="shared" ca="1" si="19"/>
        <v>7.6000000000000014</v>
      </c>
      <c r="BE8" s="141">
        <f t="shared" ca="1" si="20"/>
        <v>7.6000000000000014</v>
      </c>
      <c r="BF8" s="121">
        <f t="shared" ca="1" si="21"/>
        <v>2.75</v>
      </c>
      <c r="BG8" s="144">
        <f t="shared" si="22"/>
        <v>4.3</v>
      </c>
      <c r="BH8" s="134">
        <f t="shared" si="37"/>
        <v>5.8</v>
      </c>
      <c r="BI8" s="145">
        <f t="shared" si="39"/>
        <v>20.88</v>
      </c>
      <c r="BJ8" s="146">
        <f t="shared" si="23"/>
        <v>6.6999999999999993</v>
      </c>
      <c r="BK8" s="134">
        <f t="shared" si="38"/>
        <v>5.2</v>
      </c>
      <c r="BL8" s="145">
        <f t="shared" si="40"/>
        <v>18.72</v>
      </c>
    </row>
    <row r="9" spans="2:64" ht="24" customHeight="1">
      <c r="B9" s="147" t="str">
        <f>IF(Liste!B8&lt;&gt;"",Liste!B8,"")</f>
        <v>F</v>
      </c>
      <c r="C9" s="148" t="str">
        <f>IF(Liste!C8&lt;&gt;"",Liste!C8,"")</f>
        <v>F</v>
      </c>
      <c r="D9" s="119">
        <f t="shared" si="24"/>
        <v>1</v>
      </c>
      <c r="E9" s="119">
        <f t="shared" si="0"/>
        <v>1</v>
      </c>
      <c r="F9" s="119">
        <f t="shared" si="1"/>
        <v>1</v>
      </c>
      <c r="G9" s="120">
        <f t="shared" si="2"/>
        <v>1</v>
      </c>
      <c r="H9" s="149">
        <f t="shared" ca="1" si="26"/>
        <v>15</v>
      </c>
      <c r="I9" s="150">
        <v>2.5499999999999998</v>
      </c>
      <c r="J9" s="151"/>
      <c r="K9" s="152"/>
      <c r="L9" s="152"/>
      <c r="M9" s="153">
        <f>IF(COUNTA(I9:L9)&gt;1,IF($M$3="Moy.",ROUND(AVERAGE(SMALL(I9:L9,{1;2})),1),ROUND(MIN(I9:L9),1)),IF(COUNTA(I9:L9)=1,ROUND(MIN(I9:L9),1),""))</f>
        <v>2.6</v>
      </c>
      <c r="N9" s="154">
        <f t="shared" si="27"/>
        <v>3.8</v>
      </c>
      <c r="O9" s="155">
        <f t="shared" si="25"/>
        <v>13.68</v>
      </c>
      <c r="P9" s="156">
        <f t="shared" si="28"/>
        <v>1.4615384615384615</v>
      </c>
      <c r="Q9" s="157">
        <f t="shared" ca="1" si="3"/>
        <v>2.6</v>
      </c>
      <c r="R9" s="129">
        <f ca="1">IFERROR(INDEX(INDIRECT($C9&amp;"10m"),MATCH($M9,INDIRECT($C9&amp;"10m"))+1),"")</f>
        <v>2.8000000000000003</v>
      </c>
      <c r="S9" s="158">
        <f ca="1">IF(R9="",Q9,IF(M9=Q9,Q9,R9))</f>
        <v>2.6</v>
      </c>
      <c r="T9" s="159">
        <f t="shared" ca="1" si="6"/>
        <v>4</v>
      </c>
      <c r="U9" s="160">
        <v>3.42</v>
      </c>
      <c r="V9" s="181"/>
      <c r="W9" s="162"/>
      <c r="X9" s="162"/>
      <c r="Y9" s="163">
        <f>IF(COUNTA(U9:X9)&gt;1,IF($Y$3="Moy.",ROUND(AVERAGE(SMALL(U9:X9,{1;2})),1),ROUND(MIN(U9:X9),1)),IF(COUNTA(U9:X9)=1,ROUND(MIN(U9:X9),1),""))</f>
        <v>3.4</v>
      </c>
      <c r="Z9" s="164">
        <f t="shared" si="29"/>
        <v>4.4000000000000004</v>
      </c>
      <c r="AA9" s="155">
        <f t="shared" si="30"/>
        <v>15.840000000000002</v>
      </c>
      <c r="AB9" s="156">
        <f t="shared" si="7"/>
        <v>0.75000000000000089</v>
      </c>
      <c r="AC9" s="165">
        <f t="shared" ca="1" si="8"/>
        <v>3.2</v>
      </c>
      <c r="AD9" s="136">
        <f t="shared" ca="1" si="9"/>
        <v>3.4000000000000004</v>
      </c>
      <c r="AE9" s="166">
        <f t="shared" ca="1" si="10"/>
        <v>3.4000000000000004</v>
      </c>
      <c r="AF9" s="149">
        <f t="shared" ca="1" si="11"/>
        <v>4</v>
      </c>
      <c r="AG9" s="180">
        <v>6.1</v>
      </c>
      <c r="AH9" s="181"/>
      <c r="AI9" s="162"/>
      <c r="AJ9" s="162"/>
      <c r="AK9" s="163">
        <f>IF(COUNTA(AG9:AJ9)&gt;1,IF($AK$3="Moy.",ROUND(AVERAGE(SMALL(AG9:AJ9,{1;2})),1),ROUND(MIN(AG9:AJ9),1)),IF(COUNTA(AG9:AJ9)=1,ROUND(MIN(AG9:AJ9),1),""))</f>
        <v>6.1</v>
      </c>
      <c r="AL9" s="164">
        <f t="shared" si="31"/>
        <v>4.9000000000000004</v>
      </c>
      <c r="AM9" s="155">
        <f t="shared" si="32"/>
        <v>17.64</v>
      </c>
      <c r="AN9" s="156">
        <f t="shared" si="33"/>
        <v>0.1851851851851852</v>
      </c>
      <c r="AO9" s="169">
        <f t="shared" si="12"/>
        <v>0.11363636363636354</v>
      </c>
      <c r="AP9" s="165">
        <f t="shared" ca="1" si="13"/>
        <v>6.0999999999999988</v>
      </c>
      <c r="AQ9" s="136">
        <f t="shared" ca="1" si="14"/>
        <v>6.1999999999999984</v>
      </c>
      <c r="AR9" s="136">
        <f t="shared" ca="1" si="15"/>
        <v>6.0999999999999988</v>
      </c>
      <c r="AS9" s="149">
        <f t="shared" ca="1" si="16"/>
        <v>3.75</v>
      </c>
      <c r="AT9" s="170">
        <v>7.78</v>
      </c>
      <c r="AU9" s="182"/>
      <c r="AV9" s="171"/>
      <c r="AW9" s="171"/>
      <c r="AX9" s="163">
        <f>IF(COUNTA(AT9:AW9)&gt;1,IF($AX$3="Moy.",ROUND(AVERAGE(SMALL(AT9:AW9,{1;2})),1),ROUND(MIN(AT9:AW9),1)),IF(COUNTA(AT9:AW9)=1,ROUND(MIN(AT9:AW9),1),""))</f>
        <v>7.8</v>
      </c>
      <c r="AY9" s="164">
        <f t="shared" si="34"/>
        <v>5.0999999999999996</v>
      </c>
      <c r="AZ9" s="155">
        <f t="shared" si="35"/>
        <v>18.36</v>
      </c>
      <c r="BA9" s="156">
        <f t="shared" si="36"/>
        <v>0.11764705882352898</v>
      </c>
      <c r="BB9" s="169">
        <f t="shared" si="17"/>
        <v>4.0816326530612068E-2</v>
      </c>
      <c r="BC9" s="165">
        <f t="shared" ca="1" si="18"/>
        <v>7.6000000000000005</v>
      </c>
      <c r="BD9" s="136">
        <f t="shared" ca="1" si="19"/>
        <v>7.8000000000000007</v>
      </c>
      <c r="BE9" s="136">
        <f t="shared" ca="1" si="20"/>
        <v>7.8000000000000007</v>
      </c>
      <c r="BF9" s="149">
        <f t="shared" ca="1" si="21"/>
        <v>3.5</v>
      </c>
      <c r="BG9" s="172">
        <f t="shared" si="22"/>
        <v>4.4000000000000004</v>
      </c>
      <c r="BH9" s="164">
        <f t="shared" si="37"/>
        <v>5.7</v>
      </c>
      <c r="BI9" s="173">
        <f t="shared" si="39"/>
        <v>20.52</v>
      </c>
      <c r="BJ9" s="174">
        <f t="shared" si="23"/>
        <v>6.9499999999999993</v>
      </c>
      <c r="BK9" s="164">
        <f t="shared" si="38"/>
        <v>5</v>
      </c>
      <c r="BL9" s="173">
        <f t="shared" si="40"/>
        <v>18</v>
      </c>
    </row>
    <row r="10" spans="2:64" ht="24" customHeight="1">
      <c r="B10" s="117" t="str">
        <f>IF(Liste!B9&lt;&gt;"",Liste!B9,"")</f>
        <v>G</v>
      </c>
      <c r="C10" s="118" t="str">
        <f>IF(Liste!C9&lt;&gt;"",Liste!C9,"")</f>
        <v>M</v>
      </c>
      <c r="D10" s="119">
        <f t="shared" si="24"/>
        <v>2</v>
      </c>
      <c r="E10" s="119">
        <f t="shared" si="0"/>
        <v>2</v>
      </c>
      <c r="F10" s="119">
        <f t="shared" si="1"/>
        <v>2</v>
      </c>
      <c r="G10" s="120">
        <f t="shared" si="2"/>
        <v>2</v>
      </c>
      <c r="H10" s="121">
        <f t="shared" ca="1" si="26"/>
        <v>16</v>
      </c>
      <c r="I10" s="122">
        <v>2.29</v>
      </c>
      <c r="J10" s="123">
        <v>2.23</v>
      </c>
      <c r="K10" s="123"/>
      <c r="L10" s="123"/>
      <c r="M10" s="124">
        <f>IF(COUNTA(I10:L10)&gt;1,IF($M$3="Moy.",ROUND(AVERAGE(SMALL(I10:L10,{1;2})),1),ROUND(MIN(I10:L10),1)),IF(COUNTA(I10:L10)=1,ROUND(MIN(I10:L10),1),""))</f>
        <v>2.2000000000000002</v>
      </c>
      <c r="N10" s="125">
        <f t="shared" si="27"/>
        <v>4.5</v>
      </c>
      <c r="O10" s="126">
        <f t="shared" si="25"/>
        <v>16.2</v>
      </c>
      <c r="P10" s="127">
        <f t="shared" si="28"/>
        <v>2.0454545454545454</v>
      </c>
      <c r="Q10" s="128">
        <f t="shared" ca="1" si="3"/>
        <v>2.1</v>
      </c>
      <c r="R10" s="129">
        <f t="shared" ref="R10:R40" ca="1" si="41">IFERROR(INDEX(INDIRECT($C10&amp;"10m"),MATCH($M10,INDIRECT($C10&amp;"10m"))+1),"")</f>
        <v>2.3000000000000003</v>
      </c>
      <c r="S10" s="158">
        <f t="shared" ref="S10:S40" ca="1" si="42">IF(R10="",Q10,IF(M10=Q10,Q10,R10))</f>
        <v>2.3000000000000003</v>
      </c>
      <c r="T10" s="130">
        <f t="shared" ca="1" si="6"/>
        <v>3</v>
      </c>
      <c r="U10" s="175">
        <v>3.03</v>
      </c>
      <c r="V10" s="176">
        <v>3.1</v>
      </c>
      <c r="W10" s="176"/>
      <c r="X10" s="176"/>
      <c r="Y10" s="133">
        <f>IF(COUNTA(U10:X10)&gt;1,IF($Y$3="Moy.",ROUND(AVERAGE(SMALL(U10:X10,{1;2})),1),ROUND(MIN(U10:X10),1)),IF(COUNTA(U10:X10)=1,ROUND(MIN(U10:X10),1),""))</f>
        <v>3</v>
      </c>
      <c r="Z10" s="134">
        <f t="shared" si="29"/>
        <v>5</v>
      </c>
      <c r="AA10" s="126">
        <f t="shared" si="30"/>
        <v>18</v>
      </c>
      <c r="AB10" s="127">
        <f t="shared" si="7"/>
        <v>0.62500000000000011</v>
      </c>
      <c r="AC10" s="135">
        <f t="shared" ca="1" si="8"/>
        <v>3</v>
      </c>
      <c r="AD10" s="136">
        <f t="shared" ca="1" si="9"/>
        <v>3.2</v>
      </c>
      <c r="AE10" s="137">
        <f t="shared" ca="1" si="10"/>
        <v>3</v>
      </c>
      <c r="AF10" s="121">
        <f t="shared" ca="1" si="11"/>
        <v>4</v>
      </c>
      <c r="AG10" s="177">
        <v>5.17</v>
      </c>
      <c r="AH10" s="176">
        <v>5.0999999999999996</v>
      </c>
      <c r="AI10" s="176"/>
      <c r="AJ10" s="176"/>
      <c r="AK10" s="133">
        <f>IF(COUNTA(AG10:AJ10)&gt;1,IF($AK$3="Moy.",ROUND(AVERAGE(SMALL(AG10:AJ10,{1;2})),1),ROUND(MIN(AG10:AJ10),1)),IF(COUNTA(AG10:AJ10)=1,ROUND(MIN(AG10:AJ10),1),""))</f>
        <v>5.0999999999999996</v>
      </c>
      <c r="AL10" s="134">
        <f t="shared" si="31"/>
        <v>5.9</v>
      </c>
      <c r="AM10" s="126">
        <f t="shared" si="32"/>
        <v>21.24</v>
      </c>
      <c r="AN10" s="127">
        <f t="shared" si="33"/>
        <v>0.42857142857142883</v>
      </c>
      <c r="AO10" s="140">
        <f t="shared" si="12"/>
        <v>0.17999999999999994</v>
      </c>
      <c r="AP10" s="135">
        <f t="shared" ca="1" si="13"/>
        <v>5.0999999999999988</v>
      </c>
      <c r="AQ10" s="136">
        <f t="shared" ca="1" si="14"/>
        <v>5.1999999999999984</v>
      </c>
      <c r="AR10" s="141">
        <f t="shared" ca="1" si="15"/>
        <v>5.0999999999999988</v>
      </c>
      <c r="AS10" s="121">
        <f t="shared" ca="1" si="16"/>
        <v>4</v>
      </c>
      <c r="AT10" s="178">
        <v>6.56</v>
      </c>
      <c r="AU10" s="179">
        <v>6.47</v>
      </c>
      <c r="AV10" s="179"/>
      <c r="AW10" s="179"/>
      <c r="AX10" s="133">
        <f>IF(COUNTA(AT10:AW10)&gt;1,IF($AX$3="Moy.",ROUND(AVERAGE(SMALL(AT10:AW10,{1;2})),1),ROUND(MIN(AT10:AW10),1)),IF(COUNTA(AT10:AW10)=1,ROUND(MIN(AT10:AW10),1),""))</f>
        <v>6.5</v>
      </c>
      <c r="AY10" s="134">
        <f t="shared" si="34"/>
        <v>6.2</v>
      </c>
      <c r="AZ10" s="126">
        <f t="shared" si="35"/>
        <v>22.32</v>
      </c>
      <c r="BA10" s="127">
        <f t="shared" si="36"/>
        <v>0.21428571428571411</v>
      </c>
      <c r="BB10" s="140">
        <f t="shared" si="17"/>
        <v>5.0847457627118731E-2</v>
      </c>
      <c r="BC10" s="135">
        <f t="shared" ca="1" si="18"/>
        <v>6.3000000000000007</v>
      </c>
      <c r="BD10" s="136">
        <f t="shared" ca="1" si="19"/>
        <v>6.5000000000000009</v>
      </c>
      <c r="BE10" s="141">
        <f t="shared" ca="1" si="20"/>
        <v>6.5000000000000009</v>
      </c>
      <c r="BF10" s="121">
        <f t="shared" ca="1" si="21"/>
        <v>4</v>
      </c>
      <c r="BG10" s="144">
        <f t="shared" si="22"/>
        <v>3.5</v>
      </c>
      <c r="BH10" s="134">
        <f t="shared" si="37"/>
        <v>7.1</v>
      </c>
      <c r="BI10" s="145">
        <f t="shared" si="39"/>
        <v>25.56</v>
      </c>
      <c r="BJ10" s="146">
        <f t="shared" si="23"/>
        <v>5.8</v>
      </c>
      <c r="BK10" s="134">
        <f t="shared" si="38"/>
        <v>6</v>
      </c>
      <c r="BL10" s="145">
        <f t="shared" si="40"/>
        <v>21.6</v>
      </c>
    </row>
    <row r="11" spans="2:64" ht="24" customHeight="1">
      <c r="B11" s="147" t="str">
        <f>IF(Liste!B10&lt;&gt;"",Liste!B10,"")</f>
        <v>H</v>
      </c>
      <c r="C11" s="148" t="str">
        <f>IF(Liste!C10&lt;&gt;"",Liste!C10,"")</f>
        <v>F</v>
      </c>
      <c r="D11" s="119">
        <f t="shared" si="24"/>
        <v>2</v>
      </c>
      <c r="E11" s="119">
        <f t="shared" si="0"/>
        <v>2</v>
      </c>
      <c r="F11" s="119">
        <f t="shared" si="1"/>
        <v>2</v>
      </c>
      <c r="G11" s="120">
        <f t="shared" si="2"/>
        <v>2</v>
      </c>
      <c r="H11" s="149">
        <f t="shared" ca="1" si="26"/>
        <v>16.666666666666668</v>
      </c>
      <c r="I11" s="150">
        <v>2.44</v>
      </c>
      <c r="J11" s="151">
        <v>2.39</v>
      </c>
      <c r="K11" s="152"/>
      <c r="L11" s="152"/>
      <c r="M11" s="153">
        <f>IF(COUNTA(I11:L11)&gt;1,IF($M$3="Moy.",ROUND(AVERAGE(SMALL(I11:L11,{1;2})),1),ROUND(MIN(I11:L11),1)),IF(COUNTA(I11:L11)=1,ROUND(MIN(I11:L11),1),""))</f>
        <v>2.4</v>
      </c>
      <c r="N11" s="154">
        <f t="shared" si="27"/>
        <v>4.2</v>
      </c>
      <c r="O11" s="155">
        <f t="shared" si="25"/>
        <v>15.12</v>
      </c>
      <c r="P11" s="156">
        <f t="shared" si="28"/>
        <v>1.7500000000000002</v>
      </c>
      <c r="Q11" s="157">
        <f t="shared" ca="1" si="3"/>
        <v>2.4</v>
      </c>
      <c r="R11" s="129">
        <f t="shared" ca="1" si="41"/>
        <v>2.6</v>
      </c>
      <c r="S11" s="158">
        <f t="shared" ca="1" si="42"/>
        <v>2.4</v>
      </c>
      <c r="T11" s="159">
        <f t="shared" ca="1" si="6"/>
        <v>5</v>
      </c>
      <c r="U11" s="160">
        <v>3.28</v>
      </c>
      <c r="V11" s="181">
        <v>3.25</v>
      </c>
      <c r="W11" s="162"/>
      <c r="X11" s="162"/>
      <c r="Y11" s="163">
        <f>IF(COUNTA(U11:X11)&gt;1,IF($Y$3="Moy.",ROUND(AVERAGE(SMALL(U11:X11,{1;2})),1),ROUND(MIN(U11:X11),1)),IF(COUNTA(U11:X11)=1,ROUND(MIN(U11:X11),1),""))</f>
        <v>3.3</v>
      </c>
      <c r="Z11" s="164">
        <f t="shared" si="29"/>
        <v>4.5</v>
      </c>
      <c r="AA11" s="155">
        <f t="shared" si="30"/>
        <v>16.2</v>
      </c>
      <c r="AB11" s="156">
        <f t="shared" si="7"/>
        <v>0.33333333333333315</v>
      </c>
      <c r="AC11" s="165">
        <f t="shared" ca="1" si="8"/>
        <v>3.2</v>
      </c>
      <c r="AD11" s="136">
        <f t="shared" ca="1" si="9"/>
        <v>3.4000000000000004</v>
      </c>
      <c r="AE11" s="166">
        <f t="shared" ca="1" si="10"/>
        <v>3.4000000000000004</v>
      </c>
      <c r="AF11" s="149">
        <f t="shared" ca="1" si="11"/>
        <v>4</v>
      </c>
      <c r="AG11" s="180">
        <v>5.79</v>
      </c>
      <c r="AH11" s="161">
        <v>5.68</v>
      </c>
      <c r="AI11" s="162"/>
      <c r="AJ11" s="162"/>
      <c r="AK11" s="163">
        <f>IF(COUNTA(AG11:AJ11)&gt;1,IF($AK$3="Moy.",ROUND(AVERAGE(SMALL(AG11:AJ11,{1;2})),1),ROUND(MIN(AG11:AJ11),1)),IF(COUNTA(AG11:AJ11)=1,ROUND(MIN(AG11:AJ11),1),""))</f>
        <v>5.7</v>
      </c>
      <c r="AL11" s="164">
        <f t="shared" si="31"/>
        <v>5.3</v>
      </c>
      <c r="AM11" s="155">
        <f t="shared" si="32"/>
        <v>19.079999999999998</v>
      </c>
      <c r="AN11" s="156">
        <f t="shared" si="33"/>
        <v>0.3333333333333332</v>
      </c>
      <c r="AO11" s="169">
        <f t="shared" si="12"/>
        <v>0.17777777777777781</v>
      </c>
      <c r="AP11" s="165">
        <f t="shared" ca="1" si="13"/>
        <v>5.6999999999999993</v>
      </c>
      <c r="AQ11" s="136">
        <f t="shared" ca="1" si="14"/>
        <v>5.8999999999999995</v>
      </c>
      <c r="AR11" s="136">
        <f t="shared" ca="1" si="15"/>
        <v>5.6999999999999993</v>
      </c>
      <c r="AS11" s="149">
        <f t="shared" ca="1" si="16"/>
        <v>4.5</v>
      </c>
      <c r="AT11" s="170">
        <v>7.43</v>
      </c>
      <c r="AU11" s="182">
        <v>7.36</v>
      </c>
      <c r="AV11" s="171"/>
      <c r="AW11" s="171"/>
      <c r="AX11" s="163">
        <f>IF(COUNTA(AT11:AW11)&gt;1,IF($AX$3="Moy.",ROUND(AVERAGE(SMALL(AT11:AW11,{1;2})),1),ROUND(MIN(AT11:AW11),1)),IF(COUNTA(AT11:AW11)=1,ROUND(MIN(AT11:AW11),1),""))</f>
        <v>7.4</v>
      </c>
      <c r="AY11" s="164">
        <f t="shared" si="34"/>
        <v>5.4</v>
      </c>
      <c r="AZ11" s="155">
        <f t="shared" si="35"/>
        <v>19.440000000000001</v>
      </c>
      <c r="BA11" s="156">
        <f t="shared" si="36"/>
        <v>5.882352941176501E-2</v>
      </c>
      <c r="BB11" s="169">
        <f t="shared" si="17"/>
        <v>1.8867924528302105E-2</v>
      </c>
      <c r="BC11" s="165">
        <f t="shared" ca="1" si="18"/>
        <v>7.4</v>
      </c>
      <c r="BD11" s="136">
        <f t="shared" ca="1" si="19"/>
        <v>7.6000000000000005</v>
      </c>
      <c r="BE11" s="136">
        <f t="shared" ca="1" si="20"/>
        <v>7.4</v>
      </c>
      <c r="BF11" s="149">
        <f t="shared" ca="1" si="21"/>
        <v>4</v>
      </c>
      <c r="BG11" s="172">
        <f t="shared" si="22"/>
        <v>4.1000000000000005</v>
      </c>
      <c r="BH11" s="164">
        <f t="shared" si="37"/>
        <v>6.1</v>
      </c>
      <c r="BI11" s="173">
        <f t="shared" si="39"/>
        <v>21.96</v>
      </c>
      <c r="BJ11" s="174">
        <f t="shared" si="23"/>
        <v>6.5500000000000007</v>
      </c>
      <c r="BK11" s="164">
        <f t="shared" si="38"/>
        <v>5.3</v>
      </c>
      <c r="BL11" s="173">
        <f t="shared" si="40"/>
        <v>19.079999999999998</v>
      </c>
    </row>
    <row r="12" spans="2:64" ht="24" customHeight="1">
      <c r="B12" s="117" t="str">
        <f>IF(Liste!B11&lt;&gt;"",Liste!B11,"")</f>
        <v>I</v>
      </c>
      <c r="C12" s="118" t="str">
        <f>IF(Liste!C11&lt;&gt;"",Liste!C11,"")</f>
        <v>M</v>
      </c>
      <c r="D12" s="119">
        <f t="shared" si="24"/>
        <v>0</v>
      </c>
      <c r="E12" s="119">
        <f t="shared" si="0"/>
        <v>0</v>
      </c>
      <c r="F12" s="119">
        <f t="shared" si="1"/>
        <v>0</v>
      </c>
      <c r="G12" s="120">
        <f t="shared" si="2"/>
        <v>0</v>
      </c>
      <c r="H12" s="121" t="str">
        <f t="shared" si="26"/>
        <v/>
      </c>
      <c r="I12" s="122"/>
      <c r="J12" s="123"/>
      <c r="K12" s="123"/>
      <c r="L12" s="123"/>
      <c r="M12" s="124" t="str">
        <f>IF(COUNTA(I12:L12)&gt;1,IF($M$3="Moy.",ROUND(AVERAGE(SMALL(I12:L12,{1;2})),1),ROUND(MIN(I12:L12),1)),IF(COUNTA(I12:L12)=1,ROUND(MIN(I12:L12),1),""))</f>
        <v/>
      </c>
      <c r="N12" s="125" t="str">
        <f t="shared" si="27"/>
        <v/>
      </c>
      <c r="O12" s="126" t="str">
        <f t="shared" si="25"/>
        <v/>
      </c>
      <c r="P12" s="127" t="str">
        <f t="shared" si="28"/>
        <v/>
      </c>
      <c r="Q12" s="128" t="str">
        <f t="shared" ca="1" si="3"/>
        <v/>
      </c>
      <c r="R12" s="129" t="str">
        <f t="shared" ca="1" si="41"/>
        <v/>
      </c>
      <c r="S12" s="158" t="str">
        <f t="shared" ca="1" si="42"/>
        <v/>
      </c>
      <c r="T12" s="130" t="str">
        <f t="shared" si="6"/>
        <v/>
      </c>
      <c r="U12" s="183"/>
      <c r="V12" s="176"/>
      <c r="W12" s="176"/>
      <c r="X12" s="176"/>
      <c r="Y12" s="133" t="str">
        <f>IF(COUNTA(U12:X12)&gt;1,IF($Y$3="Moy.",ROUND(AVERAGE(SMALL(U12:X12,{1;2})),1),ROUND(MIN(U12:X12),1)),IF(COUNTA(U12:X12)=1,ROUND(MIN(U12:X12),1),""))</f>
        <v/>
      </c>
      <c r="Z12" s="134" t="str">
        <f t="shared" si="29"/>
        <v/>
      </c>
      <c r="AA12" s="126" t="str">
        <f t="shared" si="30"/>
        <v/>
      </c>
      <c r="AB12" s="127" t="str">
        <f t="shared" si="7"/>
        <v/>
      </c>
      <c r="AC12" s="135" t="str">
        <f t="shared" ca="1" si="8"/>
        <v/>
      </c>
      <c r="AD12" s="136" t="str">
        <f t="shared" ca="1" si="9"/>
        <v/>
      </c>
      <c r="AE12" s="137" t="str">
        <f t="shared" ca="1" si="10"/>
        <v/>
      </c>
      <c r="AF12" s="121" t="str">
        <f t="shared" si="11"/>
        <v/>
      </c>
      <c r="AG12" s="177"/>
      <c r="AH12" s="184"/>
      <c r="AI12" s="176"/>
      <c r="AJ12" s="176"/>
      <c r="AK12" s="133" t="str">
        <f>IF(COUNTA(AG12:AJ12)&gt;1,IF($AK$3="Moy.",ROUND(AVERAGE(SMALL(AG12:AJ12,{1;2})),1),ROUND(MIN(AG12:AJ12),1)),IF(COUNTA(AG12:AJ12)=1,ROUND(MIN(AG12:AJ12),1),""))</f>
        <v/>
      </c>
      <c r="AL12" s="134" t="str">
        <f t="shared" si="31"/>
        <v/>
      </c>
      <c r="AM12" s="126" t="str">
        <f t="shared" si="32"/>
        <v/>
      </c>
      <c r="AN12" s="127" t="str">
        <f t="shared" si="33"/>
        <v/>
      </c>
      <c r="AO12" s="140" t="str">
        <f t="shared" si="12"/>
        <v/>
      </c>
      <c r="AP12" s="135" t="str">
        <f t="shared" ca="1" si="13"/>
        <v/>
      </c>
      <c r="AQ12" s="136" t="str">
        <f t="shared" ca="1" si="14"/>
        <v/>
      </c>
      <c r="AR12" s="141" t="str">
        <f t="shared" ca="1" si="15"/>
        <v/>
      </c>
      <c r="AS12" s="121" t="str">
        <f t="shared" si="16"/>
        <v/>
      </c>
      <c r="AT12" s="178"/>
      <c r="AU12" s="179"/>
      <c r="AV12" s="179"/>
      <c r="AW12" s="179"/>
      <c r="AX12" s="133" t="str">
        <f>IF(COUNTA(AT12:AW12)&gt;1,IF($AX$3="Moy.",ROUND(AVERAGE(SMALL(AT12:AW12,{1;2})),1),ROUND(MIN(AT12:AW12),1)),IF(COUNTA(AT12:AW12)=1,ROUND(MIN(AT12:AW12),1),""))</f>
        <v/>
      </c>
      <c r="AY12" s="134" t="str">
        <f t="shared" si="34"/>
        <v/>
      </c>
      <c r="AZ12" s="126" t="str">
        <f t="shared" si="35"/>
        <v/>
      </c>
      <c r="BA12" s="127" t="str">
        <f t="shared" si="36"/>
        <v/>
      </c>
      <c r="BB12" s="140" t="str">
        <f t="shared" si="17"/>
        <v/>
      </c>
      <c r="BC12" s="135" t="str">
        <f t="shared" ca="1" si="18"/>
        <v/>
      </c>
      <c r="BD12" s="136" t="str">
        <f t="shared" ca="1" si="19"/>
        <v/>
      </c>
      <c r="BE12" s="141" t="str">
        <f t="shared" ca="1" si="20"/>
        <v/>
      </c>
      <c r="BF12" s="121" t="str">
        <f t="shared" si="21"/>
        <v/>
      </c>
      <c r="BG12" s="144" t="str">
        <f t="shared" si="22"/>
        <v/>
      </c>
      <c r="BH12" s="134" t="str">
        <f t="shared" si="37"/>
        <v/>
      </c>
      <c r="BI12" s="145" t="str">
        <f t="shared" si="39"/>
        <v/>
      </c>
      <c r="BJ12" s="146" t="str">
        <f t="shared" si="23"/>
        <v/>
      </c>
      <c r="BK12" s="134" t="str">
        <f t="shared" si="38"/>
        <v/>
      </c>
      <c r="BL12" s="145" t="str">
        <f t="shared" si="40"/>
        <v/>
      </c>
    </row>
    <row r="13" spans="2:64" ht="24" customHeight="1">
      <c r="B13" s="147" t="str">
        <f>IF(Liste!B12&lt;&gt;"",Liste!B12,"")</f>
        <v xml:space="preserve">J </v>
      </c>
      <c r="C13" s="148" t="str">
        <f>IF(Liste!C12&lt;&gt;"",Liste!C12,"")</f>
        <v>M</v>
      </c>
      <c r="D13" s="119">
        <f t="shared" si="24"/>
        <v>1</v>
      </c>
      <c r="E13" s="119">
        <f t="shared" si="0"/>
        <v>1</v>
      </c>
      <c r="F13" s="119">
        <f t="shared" si="1"/>
        <v>1</v>
      </c>
      <c r="G13" s="120">
        <f t="shared" si="2"/>
        <v>1</v>
      </c>
      <c r="H13" s="149">
        <f t="shared" ca="1" si="26"/>
        <v>9.6666666666666661</v>
      </c>
      <c r="I13" s="150">
        <v>2.4700000000000002</v>
      </c>
      <c r="J13" s="151"/>
      <c r="K13" s="152"/>
      <c r="L13" s="152"/>
      <c r="M13" s="153">
        <f>IF(COUNTA(I13:L13)&gt;1,IF($M$3="Moy.",ROUND(AVERAGE(SMALL(I13:L13,{1;2})),1),ROUND(MIN(I13:L13),1)),IF(COUNTA(I13:L13)=1,ROUND(MIN(I13:L13),1),""))</f>
        <v>2.5</v>
      </c>
      <c r="N13" s="154">
        <f t="shared" si="27"/>
        <v>4</v>
      </c>
      <c r="O13" s="155">
        <f t="shared" si="25"/>
        <v>14.4</v>
      </c>
      <c r="P13" s="156">
        <f t="shared" si="28"/>
        <v>1.6</v>
      </c>
      <c r="Q13" s="157">
        <f t="shared" ca="1" si="3"/>
        <v>2.3000000000000003</v>
      </c>
      <c r="R13" s="129">
        <f t="shared" ca="1" si="41"/>
        <v>2.5000000000000004</v>
      </c>
      <c r="S13" s="158">
        <f t="shared" ca="1" si="42"/>
        <v>2.5000000000000004</v>
      </c>
      <c r="T13" s="159">
        <f t="shared" ca="1" si="6"/>
        <v>2</v>
      </c>
      <c r="U13" s="185">
        <v>3.3</v>
      </c>
      <c r="V13" s="181"/>
      <c r="W13" s="162"/>
      <c r="X13" s="162"/>
      <c r="Y13" s="163">
        <f>IF(COUNTA(U13:X13)&gt;1,IF($Y$3="Moy.",ROUND(AVERAGE(SMALL(U13:X13,{1;2})),1),ROUND(MIN(U13:X13),1)),IF(COUNTA(U13:X13)=1,ROUND(MIN(U13:X13),1),""))</f>
        <v>3.3</v>
      </c>
      <c r="Z13" s="164">
        <f t="shared" si="29"/>
        <v>4.5</v>
      </c>
      <c r="AA13" s="155">
        <f t="shared" si="30"/>
        <v>16.2</v>
      </c>
      <c r="AB13" s="156">
        <f t="shared" si="7"/>
        <v>0.62500000000000011</v>
      </c>
      <c r="AC13" s="165">
        <f t="shared" ca="1" si="8"/>
        <v>3.2</v>
      </c>
      <c r="AD13" s="136">
        <f t="shared" ca="1" si="9"/>
        <v>3.5</v>
      </c>
      <c r="AE13" s="166">
        <f t="shared" ca="1" si="10"/>
        <v>3.5</v>
      </c>
      <c r="AF13" s="149">
        <f t="shared" ca="1" si="11"/>
        <v>2</v>
      </c>
      <c r="AG13" s="180">
        <v>5.81</v>
      </c>
      <c r="AH13" s="181"/>
      <c r="AI13" s="162"/>
      <c r="AJ13" s="162"/>
      <c r="AK13" s="163">
        <f>IF(COUNTA(AG13:AJ13)&gt;1,IF($AK$3="Moy.",ROUND(AVERAGE(SMALL(AG13:AJ13,{1;2})),1),ROUND(MIN(AG13:AJ13),1)),IF(COUNTA(AG13:AJ13)=1,ROUND(MIN(AG13:AJ13),1),""))</f>
        <v>5.8</v>
      </c>
      <c r="AL13" s="164">
        <f t="shared" si="31"/>
        <v>5.2</v>
      </c>
      <c r="AM13" s="155">
        <f t="shared" si="32"/>
        <v>18.72</v>
      </c>
      <c r="AN13" s="156">
        <f t="shared" si="33"/>
        <v>0.28000000000000008</v>
      </c>
      <c r="AO13" s="169">
        <f t="shared" si="12"/>
        <v>0.15555555555555545</v>
      </c>
      <c r="AP13" s="165">
        <f t="shared" ca="1" si="13"/>
        <v>5.6999999999999975</v>
      </c>
      <c r="AQ13" s="136">
        <f t="shared" ca="1" si="14"/>
        <v>5.8999999999999977</v>
      </c>
      <c r="AR13" s="136">
        <f t="shared" ca="1" si="15"/>
        <v>5.8999999999999977</v>
      </c>
      <c r="AS13" s="149">
        <f t="shared" ca="1" si="16"/>
        <v>2.5</v>
      </c>
      <c r="AT13" s="170">
        <v>7.43</v>
      </c>
      <c r="AU13" s="182"/>
      <c r="AV13" s="171"/>
      <c r="AW13" s="171"/>
      <c r="AX13" s="163">
        <f>IF(COUNTA(AT13:AW13)&gt;1,IF($AX$3="Moy.",ROUND(AVERAGE(SMALL(AT13:AW13,{1;2})),1),ROUND(MIN(AT13:AW13),1)),IF(COUNTA(AT13:AW13)=1,ROUND(MIN(AT13:AW13),1),""))</f>
        <v>7.4</v>
      </c>
      <c r="AY13" s="164">
        <f t="shared" si="34"/>
        <v>5.4</v>
      </c>
      <c r="AZ13" s="155">
        <f t="shared" si="35"/>
        <v>19.440000000000001</v>
      </c>
      <c r="BA13" s="156">
        <f t="shared" si="36"/>
        <v>0.12500000000000006</v>
      </c>
      <c r="BB13" s="169">
        <f t="shared" si="17"/>
        <v>3.8461538461538547E-2</v>
      </c>
      <c r="BC13" s="165">
        <f t="shared" ca="1" si="18"/>
        <v>7.3000000000000016</v>
      </c>
      <c r="BD13" s="136">
        <f t="shared" ca="1" si="19"/>
        <v>7.6000000000000014</v>
      </c>
      <c r="BE13" s="136">
        <f t="shared" ca="1" si="20"/>
        <v>7.6000000000000014</v>
      </c>
      <c r="BF13" s="149">
        <f t="shared" ca="1" si="21"/>
        <v>2.75</v>
      </c>
      <c r="BG13" s="172">
        <f t="shared" si="22"/>
        <v>4.1000000000000005</v>
      </c>
      <c r="BH13" s="164">
        <f t="shared" si="37"/>
        <v>6.1</v>
      </c>
      <c r="BI13" s="173">
        <f t="shared" si="39"/>
        <v>21.96</v>
      </c>
      <c r="BJ13" s="174">
        <f t="shared" si="23"/>
        <v>6.6</v>
      </c>
      <c r="BK13" s="164">
        <f t="shared" si="38"/>
        <v>5.3</v>
      </c>
      <c r="BL13" s="173">
        <f t="shared" si="40"/>
        <v>19.079999999999998</v>
      </c>
    </row>
    <row r="14" spans="2:64" ht="24" customHeight="1">
      <c r="B14" s="117" t="str">
        <f>IF(Liste!B13&lt;&gt;"",Liste!B13,"")</f>
        <v>K</v>
      </c>
      <c r="C14" s="118" t="str">
        <f>IF(Liste!C13&lt;&gt;"",Liste!C13,"")</f>
        <v>M</v>
      </c>
      <c r="D14" s="119">
        <f t="shared" si="24"/>
        <v>2</v>
      </c>
      <c r="E14" s="119">
        <f t="shared" si="0"/>
        <v>2</v>
      </c>
      <c r="F14" s="119">
        <f t="shared" si="1"/>
        <v>2</v>
      </c>
      <c r="G14" s="120">
        <f t="shared" si="2"/>
        <v>2</v>
      </c>
      <c r="H14" s="121">
        <f t="shared" ca="1" si="26"/>
        <v>17.666666666666664</v>
      </c>
      <c r="I14" s="122">
        <v>2.5</v>
      </c>
      <c r="J14" s="123">
        <v>2.12</v>
      </c>
      <c r="K14" s="123"/>
      <c r="L14" s="123"/>
      <c r="M14" s="124">
        <f>IF(COUNTA(I14:L14)&gt;1,IF($M$3="Moy.",ROUND(AVERAGE(SMALL(I14:L14,{1;2})),1),ROUND(MIN(I14:L14),1)),IF(COUNTA(I14:L14)=1,ROUND(MIN(I14:L14),1),""))</f>
        <v>2.1</v>
      </c>
      <c r="N14" s="125">
        <f t="shared" si="27"/>
        <v>4.8</v>
      </c>
      <c r="O14" s="126">
        <f t="shared" si="25"/>
        <v>17.28</v>
      </c>
      <c r="P14" s="127">
        <f t="shared" si="28"/>
        <v>2.2857142857142856</v>
      </c>
      <c r="Q14" s="128">
        <f t="shared" ca="1" si="3"/>
        <v>2.1</v>
      </c>
      <c r="R14" s="129">
        <f t="shared" ca="1" si="41"/>
        <v>2.3000000000000003</v>
      </c>
      <c r="S14" s="158">
        <f t="shared" ca="1" si="42"/>
        <v>2.1</v>
      </c>
      <c r="T14" s="130">
        <f t="shared" ca="1" si="6"/>
        <v>4</v>
      </c>
      <c r="U14" s="183">
        <v>3.4</v>
      </c>
      <c r="V14" s="176">
        <v>2.85</v>
      </c>
      <c r="W14" s="176"/>
      <c r="X14" s="176"/>
      <c r="Y14" s="133">
        <f>IF(COUNTA(U14:X14)&gt;1,IF($Y$3="Moy.",ROUND(AVERAGE(SMALL(U14:X14,{1;2})),1),ROUND(MIN(U14:X14),1)),IF(COUNTA(U14:X14)=1,ROUND(MIN(U14:X14),1),""))</f>
        <v>2.9</v>
      </c>
      <c r="Z14" s="134">
        <f t="shared" si="29"/>
        <v>5.2</v>
      </c>
      <c r="AA14" s="126">
        <f t="shared" si="30"/>
        <v>18.72</v>
      </c>
      <c r="AB14" s="127">
        <f t="shared" si="7"/>
        <v>0.50000000000000056</v>
      </c>
      <c r="AC14" s="135">
        <f t="shared" ca="1" si="8"/>
        <v>2.8</v>
      </c>
      <c r="AD14" s="136">
        <f t="shared" ca="1" si="9"/>
        <v>3</v>
      </c>
      <c r="AE14" s="137">
        <f t="shared" ca="1" si="10"/>
        <v>3</v>
      </c>
      <c r="AF14" s="121">
        <f t="shared" ca="1" si="11"/>
        <v>4</v>
      </c>
      <c r="AG14" s="177">
        <v>5.87</v>
      </c>
      <c r="AH14" s="176">
        <v>4.8</v>
      </c>
      <c r="AI14" s="176"/>
      <c r="AJ14" s="176"/>
      <c r="AK14" s="133">
        <f>IF(COUNTA(AG14:AJ14)&gt;1,IF($AK$3="Moy.",ROUND(AVERAGE(SMALL(AG14:AJ14,{1;2})),1),ROUND(MIN(AG14:AJ14),1)),IF(COUNTA(AG14:AJ14)=1,ROUND(MIN(AG14:AJ14),1),""))</f>
        <v>4.8</v>
      </c>
      <c r="AL14" s="134">
        <f t="shared" si="31"/>
        <v>6.3</v>
      </c>
      <c r="AM14" s="126">
        <f t="shared" si="32"/>
        <v>22.68</v>
      </c>
      <c r="AN14" s="127">
        <f t="shared" si="33"/>
        <v>0.57894736842105243</v>
      </c>
      <c r="AO14" s="140">
        <f t="shared" si="12"/>
        <v>0.21153846153846168</v>
      </c>
      <c r="AP14" s="135">
        <f t="shared" ca="1" si="13"/>
        <v>4.8</v>
      </c>
      <c r="AQ14" s="136">
        <f t="shared" ca="1" si="14"/>
        <v>4.8999999999999995</v>
      </c>
      <c r="AR14" s="141">
        <f t="shared" ca="1" si="15"/>
        <v>4.8</v>
      </c>
      <c r="AS14" s="121">
        <f t="shared" ca="1" si="16"/>
        <v>4.75</v>
      </c>
      <c r="AT14" s="178">
        <v>7.54</v>
      </c>
      <c r="AU14" s="179">
        <v>6.08</v>
      </c>
      <c r="AV14" s="179"/>
      <c r="AW14" s="179"/>
      <c r="AX14" s="133">
        <f>IF(COUNTA(AT14:AW14)&gt;1,IF($AX$3="Moy.",ROUND(AVERAGE(SMALL(AT14:AW14,{1;2})),1),ROUND(MIN(AT14:AW14),1)),IF(COUNTA(AT14:AW14)=1,ROUND(MIN(AT14:AW14),1),""))</f>
        <v>6.1</v>
      </c>
      <c r="AY14" s="134">
        <f t="shared" si="34"/>
        <v>6.6</v>
      </c>
      <c r="AZ14" s="126">
        <f t="shared" si="35"/>
        <v>23.76</v>
      </c>
      <c r="BA14" s="127">
        <f t="shared" si="36"/>
        <v>0.23076923076923067</v>
      </c>
      <c r="BB14" s="140">
        <f t="shared" si="17"/>
        <v>4.7619047619047672E-2</v>
      </c>
      <c r="BC14" s="135">
        <f t="shared" ca="1" si="18"/>
        <v>5.9</v>
      </c>
      <c r="BD14" s="136">
        <f t="shared" ca="1" si="19"/>
        <v>6.1000000000000005</v>
      </c>
      <c r="BE14" s="141">
        <f t="shared" ca="1" si="20"/>
        <v>6.1000000000000005</v>
      </c>
      <c r="BF14" s="121">
        <f t="shared" ca="1" si="21"/>
        <v>4.5</v>
      </c>
      <c r="BG14" s="144">
        <f t="shared" si="22"/>
        <v>3.1999999999999997</v>
      </c>
      <c r="BH14" s="134">
        <f t="shared" si="37"/>
        <v>7.8</v>
      </c>
      <c r="BI14" s="145">
        <f t="shared" si="39"/>
        <v>28.08</v>
      </c>
      <c r="BJ14" s="146">
        <f t="shared" si="23"/>
        <v>5.4499999999999993</v>
      </c>
      <c r="BK14" s="134">
        <f t="shared" si="38"/>
        <v>6.4</v>
      </c>
      <c r="BL14" s="145">
        <f t="shared" si="40"/>
        <v>23.04</v>
      </c>
    </row>
    <row r="15" spans="2:64" ht="24" customHeight="1">
      <c r="B15" s="147" t="str">
        <f>IF(Liste!B14&lt;&gt;"",Liste!B14,"")</f>
        <v>L</v>
      </c>
      <c r="C15" s="148" t="str">
        <f>IF(Liste!C14&lt;&gt;"",Liste!C14,"")</f>
        <v>M</v>
      </c>
      <c r="D15" s="119">
        <f t="shared" si="24"/>
        <v>0</v>
      </c>
      <c r="E15" s="119">
        <f t="shared" si="0"/>
        <v>0</v>
      </c>
      <c r="F15" s="119">
        <f t="shared" si="1"/>
        <v>0</v>
      </c>
      <c r="G15" s="120">
        <f t="shared" si="2"/>
        <v>0</v>
      </c>
      <c r="H15" s="149" t="str">
        <f t="shared" si="26"/>
        <v/>
      </c>
      <c r="I15" s="150"/>
      <c r="J15" s="151"/>
      <c r="K15" s="152"/>
      <c r="L15" s="152"/>
      <c r="M15" s="153" t="str">
        <f>IF(COUNTA(I15:L15)&gt;1,IF($M$3="Moy.",ROUND(AVERAGE(SMALL(I15:L15,{1;2})),1),ROUND(MIN(I15:L15),1)),IF(COUNTA(I15:L15)=1,ROUND(MIN(I15:L15),1),""))</f>
        <v/>
      </c>
      <c r="N15" s="154" t="str">
        <f t="shared" si="27"/>
        <v/>
      </c>
      <c r="O15" s="155" t="str">
        <f t="shared" si="25"/>
        <v/>
      </c>
      <c r="P15" s="156" t="str">
        <f t="shared" si="28"/>
        <v/>
      </c>
      <c r="Q15" s="157" t="str">
        <f t="shared" ca="1" si="3"/>
        <v/>
      </c>
      <c r="R15" s="129" t="str">
        <f t="shared" ca="1" si="41"/>
        <v/>
      </c>
      <c r="S15" s="158" t="str">
        <f t="shared" ca="1" si="42"/>
        <v/>
      </c>
      <c r="T15" s="159" t="str">
        <f t="shared" si="6"/>
        <v/>
      </c>
      <c r="U15" s="185"/>
      <c r="V15" s="181"/>
      <c r="W15" s="162"/>
      <c r="X15" s="162"/>
      <c r="Y15" s="163" t="str">
        <f>IF(COUNTA(U15:X15)&gt;1,IF($Y$3="Moy.",ROUND(AVERAGE(SMALL(U15:X15,{1;2})),1),ROUND(MIN(U15:X15),1)),IF(COUNTA(U15:X15)=1,ROUND(MIN(U15:X15),1),""))</f>
        <v/>
      </c>
      <c r="Z15" s="164" t="str">
        <f t="shared" si="29"/>
        <v/>
      </c>
      <c r="AA15" s="155" t="str">
        <f t="shared" si="30"/>
        <v/>
      </c>
      <c r="AB15" s="156" t="str">
        <f t="shared" si="7"/>
        <v/>
      </c>
      <c r="AC15" s="165" t="str">
        <f t="shared" ca="1" si="8"/>
        <v/>
      </c>
      <c r="AD15" s="136" t="str">
        <f t="shared" ca="1" si="9"/>
        <v/>
      </c>
      <c r="AE15" s="166" t="str">
        <f t="shared" ca="1" si="10"/>
        <v/>
      </c>
      <c r="AF15" s="149" t="str">
        <f t="shared" si="11"/>
        <v/>
      </c>
      <c r="AG15" s="180"/>
      <c r="AH15" s="181"/>
      <c r="AI15" s="162"/>
      <c r="AJ15" s="162"/>
      <c r="AK15" s="163" t="str">
        <f>IF(COUNTA(AG15:AJ15)&gt;1,IF($AK$3="Moy.",ROUND(AVERAGE(SMALL(AG15:AJ15,{1;2})),1),ROUND(MIN(AG15:AJ15),1)),IF(COUNTA(AG15:AJ15)=1,ROUND(MIN(AG15:AJ15),1),""))</f>
        <v/>
      </c>
      <c r="AL15" s="164" t="str">
        <f t="shared" si="31"/>
        <v/>
      </c>
      <c r="AM15" s="155" t="str">
        <f t="shared" si="32"/>
        <v/>
      </c>
      <c r="AN15" s="156" t="str">
        <f t="shared" si="33"/>
        <v/>
      </c>
      <c r="AO15" s="169" t="str">
        <f t="shared" si="12"/>
        <v/>
      </c>
      <c r="AP15" s="165" t="str">
        <f t="shared" ca="1" si="13"/>
        <v/>
      </c>
      <c r="AQ15" s="136" t="str">
        <f t="shared" ca="1" si="14"/>
        <v/>
      </c>
      <c r="AR15" s="136" t="str">
        <f t="shared" ca="1" si="15"/>
        <v/>
      </c>
      <c r="AS15" s="149" t="str">
        <f t="shared" si="16"/>
        <v/>
      </c>
      <c r="AT15" s="170"/>
      <c r="AU15" s="182"/>
      <c r="AV15" s="171"/>
      <c r="AW15" s="171"/>
      <c r="AX15" s="163" t="str">
        <f>IF(COUNTA(AT15:AW15)&gt;1,IF($AX$3="Moy.",ROUND(AVERAGE(SMALL(AT15:AW15,{1;2})),1),ROUND(MIN(AT15:AW15),1)),IF(COUNTA(AT15:AW15)=1,ROUND(MIN(AT15:AW15),1),""))</f>
        <v/>
      </c>
      <c r="AY15" s="164" t="str">
        <f t="shared" si="34"/>
        <v/>
      </c>
      <c r="AZ15" s="155" t="str">
        <f t="shared" si="35"/>
        <v/>
      </c>
      <c r="BA15" s="156" t="str">
        <f t="shared" si="36"/>
        <v/>
      </c>
      <c r="BB15" s="169" t="str">
        <f t="shared" si="17"/>
        <v/>
      </c>
      <c r="BC15" s="165" t="str">
        <f t="shared" ca="1" si="18"/>
        <v/>
      </c>
      <c r="BD15" s="136" t="str">
        <f t="shared" ca="1" si="19"/>
        <v/>
      </c>
      <c r="BE15" s="136" t="str">
        <f t="shared" ca="1" si="20"/>
        <v/>
      </c>
      <c r="BF15" s="149" t="str">
        <f t="shared" si="21"/>
        <v/>
      </c>
      <c r="BG15" s="172" t="str">
        <f t="shared" si="22"/>
        <v/>
      </c>
      <c r="BH15" s="164" t="str">
        <f t="shared" si="37"/>
        <v/>
      </c>
      <c r="BI15" s="173" t="str">
        <f t="shared" si="39"/>
        <v/>
      </c>
      <c r="BJ15" s="174" t="str">
        <f t="shared" si="23"/>
        <v/>
      </c>
      <c r="BK15" s="164" t="str">
        <f t="shared" si="38"/>
        <v/>
      </c>
      <c r="BL15" s="173" t="str">
        <f t="shared" si="40"/>
        <v/>
      </c>
    </row>
    <row r="16" spans="2:64" ht="24" customHeight="1">
      <c r="B16" s="117" t="str">
        <f>IF(Liste!B15&lt;&gt;"",Liste!B15,"")</f>
        <v>M</v>
      </c>
      <c r="C16" s="118" t="str">
        <f>IF(Liste!C15&lt;&gt;"",Liste!C15,"")</f>
        <v>F</v>
      </c>
      <c r="D16" s="119">
        <f t="shared" si="24"/>
        <v>1</v>
      </c>
      <c r="E16" s="119">
        <f t="shared" si="0"/>
        <v>1</v>
      </c>
      <c r="F16" s="119">
        <f t="shared" si="1"/>
        <v>1</v>
      </c>
      <c r="G16" s="120">
        <f t="shared" si="2"/>
        <v>1</v>
      </c>
      <c r="H16" s="121">
        <f t="shared" ca="1" si="26"/>
        <v>18</v>
      </c>
      <c r="I16" s="122">
        <v>2.41</v>
      </c>
      <c r="J16" s="123"/>
      <c r="K16" s="123"/>
      <c r="L16" s="123"/>
      <c r="M16" s="124">
        <f>IF(COUNTA(I16:L16)&gt;1,IF($M$3="Moy.",ROUND(AVERAGE(SMALL(I16:L16,{1;2})),1),ROUND(MIN(I16:L16),1)),IF(COUNTA(I16:L16)=1,ROUND(MIN(I16:L16),1),""))</f>
        <v>2.4</v>
      </c>
      <c r="N16" s="125">
        <f t="shared" si="27"/>
        <v>4.2</v>
      </c>
      <c r="O16" s="126">
        <f t="shared" si="25"/>
        <v>15.12</v>
      </c>
      <c r="P16" s="127">
        <f t="shared" si="28"/>
        <v>1.7500000000000002</v>
      </c>
      <c r="Q16" s="128">
        <f t="shared" ca="1" si="3"/>
        <v>2.4</v>
      </c>
      <c r="R16" s="129">
        <f t="shared" ca="1" si="41"/>
        <v>2.6</v>
      </c>
      <c r="S16" s="158">
        <f t="shared" ca="1" si="42"/>
        <v>2.4</v>
      </c>
      <c r="T16" s="130">
        <f t="shared" ca="1" si="6"/>
        <v>5</v>
      </c>
      <c r="U16" s="175">
        <v>3.22</v>
      </c>
      <c r="V16" s="176"/>
      <c r="W16" s="176"/>
      <c r="X16" s="176"/>
      <c r="Y16" s="133">
        <f>IF(COUNTA(U16:X16)&gt;1,IF($Y$3="Moy.",ROUND(AVERAGE(SMALL(U16:X16,{1;2})),1),ROUND(MIN(U16:X16),1)),IF(COUNTA(U16:X16)=1,ROUND(MIN(U16:X16),1),""))</f>
        <v>3.2</v>
      </c>
      <c r="Z16" s="134">
        <f t="shared" si="29"/>
        <v>4.7</v>
      </c>
      <c r="AA16" s="126">
        <f t="shared" si="30"/>
        <v>16.920000000000002</v>
      </c>
      <c r="AB16" s="127">
        <f t="shared" si="7"/>
        <v>0.62499999999999978</v>
      </c>
      <c r="AC16" s="135">
        <f t="shared" ca="1" si="8"/>
        <v>3.2</v>
      </c>
      <c r="AD16" s="136">
        <f t="shared" ca="1" si="9"/>
        <v>3.4000000000000004</v>
      </c>
      <c r="AE16" s="137">
        <f t="shared" ca="1" si="10"/>
        <v>3.2</v>
      </c>
      <c r="AF16" s="121">
        <f t="shared" ca="1" si="11"/>
        <v>5</v>
      </c>
      <c r="AG16" s="177">
        <v>5.71</v>
      </c>
      <c r="AH16" s="176"/>
      <c r="AI16" s="176"/>
      <c r="AJ16" s="176"/>
      <c r="AK16" s="133">
        <f>IF(COUNTA(AG16:AJ16)&gt;1,IF($AK$3="Moy.",ROUND(AVERAGE(SMALL(AG16:AJ16,{1;2})),1),ROUND(MIN(AG16:AJ16),1)),IF(COUNTA(AG16:AJ16)=1,ROUND(MIN(AG16:AJ16),1),""))</f>
        <v>5.7</v>
      </c>
      <c r="AL16" s="134">
        <f t="shared" si="31"/>
        <v>5.3</v>
      </c>
      <c r="AM16" s="126">
        <f t="shared" si="32"/>
        <v>19.079999999999998</v>
      </c>
      <c r="AN16" s="127">
        <f t="shared" si="33"/>
        <v>0.23999999999999985</v>
      </c>
      <c r="AO16" s="140">
        <f t="shared" si="12"/>
        <v>0.12765957446808485</v>
      </c>
      <c r="AP16" s="135">
        <f t="shared" ca="1" si="13"/>
        <v>5.6999999999999993</v>
      </c>
      <c r="AQ16" s="136">
        <f t="shared" ca="1" si="14"/>
        <v>5.8999999999999995</v>
      </c>
      <c r="AR16" s="141">
        <f t="shared" ca="1" si="15"/>
        <v>5.6999999999999993</v>
      </c>
      <c r="AS16" s="121">
        <f t="shared" ca="1" si="16"/>
        <v>4.5</v>
      </c>
      <c r="AT16" s="178">
        <v>7.28</v>
      </c>
      <c r="AU16" s="179"/>
      <c r="AV16" s="179"/>
      <c r="AW16" s="179"/>
      <c r="AX16" s="133">
        <f>IF(COUNTA(AT16:AW16)&gt;1,IF($AX$3="Moy.",ROUND(AVERAGE(SMALL(AT16:AW16,{1;2})),1),ROUND(MIN(AT16:AW16),1)),IF(COUNTA(AT16:AW16)=1,ROUND(MIN(AT16:AW16),1),""))</f>
        <v>7.3</v>
      </c>
      <c r="AY16" s="134">
        <f t="shared" si="34"/>
        <v>5.5</v>
      </c>
      <c r="AZ16" s="126">
        <f t="shared" si="35"/>
        <v>19.8</v>
      </c>
      <c r="BA16" s="127">
        <f t="shared" si="36"/>
        <v>0.12500000000000014</v>
      </c>
      <c r="BB16" s="140">
        <f t="shared" si="17"/>
        <v>3.7735849056603987E-2</v>
      </c>
      <c r="BC16" s="135">
        <f t="shared" ca="1" si="18"/>
        <v>7.2</v>
      </c>
      <c r="BD16" s="136">
        <f t="shared" ca="1" si="19"/>
        <v>7.4</v>
      </c>
      <c r="BE16" s="141">
        <f t="shared" ca="1" si="20"/>
        <v>7.4</v>
      </c>
      <c r="BF16" s="121">
        <f t="shared" ca="1" si="21"/>
        <v>4</v>
      </c>
      <c r="BG16" s="144">
        <f t="shared" si="22"/>
        <v>4.0999999999999996</v>
      </c>
      <c r="BH16" s="134">
        <f t="shared" si="37"/>
        <v>6.1</v>
      </c>
      <c r="BI16" s="145">
        <f t="shared" si="39"/>
        <v>21.96</v>
      </c>
      <c r="BJ16" s="146">
        <f t="shared" si="23"/>
        <v>6.5</v>
      </c>
      <c r="BK16" s="134">
        <f t="shared" si="38"/>
        <v>5.4</v>
      </c>
      <c r="BL16" s="145">
        <f t="shared" si="40"/>
        <v>19.440000000000001</v>
      </c>
    </row>
    <row r="17" spans="2:64" ht="24" customHeight="1">
      <c r="B17" s="147" t="str">
        <f>IF(Liste!B16&lt;&gt;"",Liste!B16,"")</f>
        <v>N</v>
      </c>
      <c r="C17" s="148" t="str">
        <f>IF(Liste!C16&lt;&gt;"",Liste!C16,"")</f>
        <v>M</v>
      </c>
      <c r="D17" s="119">
        <f t="shared" si="24"/>
        <v>1</v>
      </c>
      <c r="E17" s="119">
        <f t="shared" si="0"/>
        <v>1</v>
      </c>
      <c r="F17" s="119">
        <f t="shared" si="1"/>
        <v>1</v>
      </c>
      <c r="G17" s="120">
        <f t="shared" si="2"/>
        <v>1</v>
      </c>
      <c r="H17" s="149">
        <f t="shared" ca="1" si="26"/>
        <v>17</v>
      </c>
      <c r="I17" s="150">
        <v>2.2000000000000002</v>
      </c>
      <c r="J17" s="151"/>
      <c r="K17" s="152"/>
      <c r="L17" s="152"/>
      <c r="M17" s="153">
        <f>IF(COUNTA(I17:L17)&gt;1,IF($M$3="Moy.",ROUND(AVERAGE(SMALL(I17:L17,{1;2})),1),ROUND(MIN(I17:L17),1)),IF(COUNTA(I17:L17)=1,ROUND(MIN(I17:L17),1),""))</f>
        <v>2.2000000000000002</v>
      </c>
      <c r="N17" s="154">
        <f t="shared" si="27"/>
        <v>4.5</v>
      </c>
      <c r="O17" s="155">
        <f t="shared" si="25"/>
        <v>16.2</v>
      </c>
      <c r="P17" s="156">
        <f t="shared" si="28"/>
        <v>2.0454545454545454</v>
      </c>
      <c r="Q17" s="157">
        <f t="shared" ca="1" si="3"/>
        <v>2.1</v>
      </c>
      <c r="R17" s="129">
        <f t="shared" ca="1" si="41"/>
        <v>2.3000000000000003</v>
      </c>
      <c r="S17" s="158">
        <f t="shared" ca="1" si="42"/>
        <v>2.3000000000000003</v>
      </c>
      <c r="T17" s="159">
        <f t="shared" ca="1" si="6"/>
        <v>3</v>
      </c>
      <c r="U17" s="160">
        <v>2.9</v>
      </c>
      <c r="V17" s="181"/>
      <c r="W17" s="162"/>
      <c r="X17" s="162"/>
      <c r="Y17" s="163">
        <f>IF(COUNTA(U17:X17)&gt;1,IF($Y$3="Moy.",ROUND(AVERAGE(SMALL(U17:X17,{1;2})),1),ROUND(MIN(U17:X17),1)),IF(COUNTA(U17:X17)=1,ROUND(MIN(U17:X17),1),""))</f>
        <v>2.9</v>
      </c>
      <c r="Z17" s="164">
        <f t="shared" si="29"/>
        <v>5.2</v>
      </c>
      <c r="AA17" s="155">
        <f t="shared" si="30"/>
        <v>18.72</v>
      </c>
      <c r="AB17" s="156">
        <f t="shared" si="7"/>
        <v>1.0000000000000007</v>
      </c>
      <c r="AC17" s="165">
        <f t="shared" ca="1" si="8"/>
        <v>2.8</v>
      </c>
      <c r="AD17" s="136">
        <f t="shared" ca="1" si="9"/>
        <v>3</v>
      </c>
      <c r="AE17" s="166">
        <f t="shared" ca="1" si="10"/>
        <v>3</v>
      </c>
      <c r="AF17" s="149">
        <f t="shared" ca="1" si="11"/>
        <v>4</v>
      </c>
      <c r="AG17" s="186">
        <v>4.88</v>
      </c>
      <c r="AH17" s="181"/>
      <c r="AI17" s="162"/>
      <c r="AJ17" s="162"/>
      <c r="AK17" s="163">
        <f>IF(COUNTA(AG17:AJ17)&gt;1,IF($AK$3="Moy.",ROUND(AVERAGE(SMALL(AG17:AJ17,{1;2})),1),ROUND(MIN(AG17:AJ17),1)),IF(COUNTA(AG17:AJ17)=1,ROUND(MIN(AG17:AJ17),1),""))</f>
        <v>4.9000000000000004</v>
      </c>
      <c r="AL17" s="164">
        <f t="shared" si="31"/>
        <v>6.1</v>
      </c>
      <c r="AM17" s="155">
        <f t="shared" si="32"/>
        <v>21.96</v>
      </c>
      <c r="AN17" s="156">
        <f t="shared" si="33"/>
        <v>0.44999999999999962</v>
      </c>
      <c r="AO17" s="169">
        <f t="shared" si="12"/>
        <v>0.17307692307692313</v>
      </c>
      <c r="AP17" s="165">
        <f t="shared" ca="1" si="13"/>
        <v>4.8999999999999995</v>
      </c>
      <c r="AQ17" s="136">
        <f t="shared" ca="1" si="14"/>
        <v>4.9999999999999991</v>
      </c>
      <c r="AR17" s="136">
        <f t="shared" ca="1" si="15"/>
        <v>4.8999999999999995</v>
      </c>
      <c r="AS17" s="149">
        <f t="shared" ca="1" si="16"/>
        <v>4.5</v>
      </c>
      <c r="AT17" s="170">
        <v>6.15</v>
      </c>
      <c r="AU17" s="182"/>
      <c r="AV17" s="171"/>
      <c r="AW17" s="171"/>
      <c r="AX17" s="163">
        <f>IF(COUNTA(AT17:AW17)&gt;1,IF($AX$3="Moy.",ROUND(AVERAGE(SMALL(AT17:AW17,{1;2})),1),ROUND(MIN(AT17:AW17),1)),IF(COUNTA(AT17:AW17)=1,ROUND(MIN(AT17:AW17),1),""))</f>
        <v>6.2</v>
      </c>
      <c r="AY17" s="164">
        <f t="shared" si="34"/>
        <v>6.5</v>
      </c>
      <c r="AZ17" s="155">
        <f t="shared" si="35"/>
        <v>23.4</v>
      </c>
      <c r="BA17" s="156">
        <f t="shared" si="36"/>
        <v>0.30769230769230799</v>
      </c>
      <c r="BB17" s="169">
        <f t="shared" si="17"/>
        <v>6.5573770491803129E-2</v>
      </c>
      <c r="BC17" s="165">
        <f t="shared" ca="1" si="18"/>
        <v>6.1000000000000005</v>
      </c>
      <c r="BD17" s="136">
        <f t="shared" ca="1" si="19"/>
        <v>6.3000000000000007</v>
      </c>
      <c r="BE17" s="136">
        <f t="shared" ca="1" si="20"/>
        <v>6.3000000000000007</v>
      </c>
      <c r="BF17" s="149">
        <f t="shared" ca="1" si="21"/>
        <v>4.25</v>
      </c>
      <c r="BG17" s="172">
        <f t="shared" si="22"/>
        <v>3.3000000000000003</v>
      </c>
      <c r="BH17" s="164">
        <f t="shared" si="37"/>
        <v>7.6</v>
      </c>
      <c r="BI17" s="173">
        <f t="shared" si="39"/>
        <v>27.36</v>
      </c>
      <c r="BJ17" s="174">
        <f t="shared" si="23"/>
        <v>5.5500000000000007</v>
      </c>
      <c r="BK17" s="164">
        <f t="shared" si="38"/>
        <v>6.3</v>
      </c>
      <c r="BL17" s="173">
        <f t="shared" si="40"/>
        <v>22.68</v>
      </c>
    </row>
    <row r="18" spans="2:64" ht="24" customHeight="1">
      <c r="B18" s="117" t="str">
        <f>IF(Liste!B17&lt;&gt;"",Liste!B17,"")</f>
        <v>O</v>
      </c>
      <c r="C18" s="118" t="str">
        <f>IF(Liste!C17&lt;&gt;"",Liste!C17,"")</f>
        <v>F</v>
      </c>
      <c r="D18" s="119">
        <f t="shared" si="24"/>
        <v>1</v>
      </c>
      <c r="E18" s="119">
        <f t="shared" si="0"/>
        <v>1</v>
      </c>
      <c r="F18" s="119">
        <f t="shared" si="1"/>
        <v>1</v>
      </c>
      <c r="G18" s="120">
        <f t="shared" si="2"/>
        <v>1</v>
      </c>
      <c r="H18" s="121">
        <f t="shared" ca="1" si="26"/>
        <v>14.666666666666666</v>
      </c>
      <c r="I18" s="122">
        <v>2.64</v>
      </c>
      <c r="J18" s="123"/>
      <c r="K18" s="123"/>
      <c r="L18" s="123"/>
      <c r="M18" s="124">
        <f>IF(COUNTA(I18:L18)&gt;1,IF($M$3="Moy.",ROUND(AVERAGE(SMALL(I18:L18,{1;2})),1),ROUND(MIN(I18:L18),1)),IF(COUNTA(I18:L18)=1,ROUND(MIN(I18:L18),1),""))</f>
        <v>2.6</v>
      </c>
      <c r="N18" s="125">
        <f t="shared" si="27"/>
        <v>3.8</v>
      </c>
      <c r="O18" s="126">
        <f t="shared" si="25"/>
        <v>13.68</v>
      </c>
      <c r="P18" s="127">
        <f t="shared" si="28"/>
        <v>1.4615384615384615</v>
      </c>
      <c r="Q18" s="128">
        <f t="shared" ca="1" si="3"/>
        <v>2.6</v>
      </c>
      <c r="R18" s="129">
        <f t="shared" ca="1" si="41"/>
        <v>2.8000000000000003</v>
      </c>
      <c r="S18" s="158">
        <f t="shared" ca="1" si="42"/>
        <v>2.6</v>
      </c>
      <c r="T18" s="130">
        <f t="shared" ca="1" si="6"/>
        <v>4</v>
      </c>
      <c r="U18" s="183">
        <v>3.5</v>
      </c>
      <c r="V18" s="176"/>
      <c r="W18" s="176"/>
      <c r="X18" s="176"/>
      <c r="Y18" s="133">
        <f>IF(COUNTA(U18:X18)&gt;1,IF($Y$3="Moy.",ROUND(AVERAGE(SMALL(U18:X18,{1;2})),1),ROUND(MIN(U18:X18),1)),IF(COUNTA(U18:X18)=1,ROUND(MIN(U18:X18),1),""))</f>
        <v>3.5</v>
      </c>
      <c r="Z18" s="134">
        <f t="shared" si="29"/>
        <v>4.3</v>
      </c>
      <c r="AA18" s="126">
        <f t="shared" si="30"/>
        <v>15.48</v>
      </c>
      <c r="AB18" s="127">
        <f t="shared" si="7"/>
        <v>0.55555555555555558</v>
      </c>
      <c r="AC18" s="135">
        <f t="shared" ca="1" si="8"/>
        <v>3.4000000000000004</v>
      </c>
      <c r="AD18" s="136">
        <f t="shared" ca="1" si="9"/>
        <v>3.6000000000000005</v>
      </c>
      <c r="AE18" s="137">
        <f t="shared" ca="1" si="10"/>
        <v>3.6000000000000005</v>
      </c>
      <c r="AF18" s="121">
        <f t="shared" ca="1" si="11"/>
        <v>3</v>
      </c>
      <c r="AG18" s="177">
        <v>5.92</v>
      </c>
      <c r="AH18" s="176"/>
      <c r="AI18" s="176"/>
      <c r="AJ18" s="176"/>
      <c r="AK18" s="133">
        <f>IF(COUNTA(AG18:AJ18)&gt;1,IF($AK$3="Moy.",ROUND(AVERAGE(SMALL(AG18:AJ18,{1;2})),1),ROUND(MIN(AG18:AJ18),1)),IF(COUNTA(AG18:AJ18)=1,ROUND(MIN(AG18:AJ18),1),""))</f>
        <v>5.9</v>
      </c>
      <c r="AL18" s="134">
        <f t="shared" si="31"/>
        <v>5.0999999999999996</v>
      </c>
      <c r="AM18" s="126">
        <f t="shared" si="32"/>
        <v>18.36</v>
      </c>
      <c r="AN18" s="127">
        <f t="shared" si="33"/>
        <v>0.3333333333333332</v>
      </c>
      <c r="AO18" s="140">
        <f t="shared" si="12"/>
        <v>0.18604651162790686</v>
      </c>
      <c r="AP18" s="135">
        <f t="shared" ca="1" si="13"/>
        <v>5.8999999999999995</v>
      </c>
      <c r="AQ18" s="136">
        <f t="shared" ca="1" si="14"/>
        <v>5.9999999999999991</v>
      </c>
      <c r="AR18" s="141">
        <f t="shared" ca="1" si="15"/>
        <v>5.8999999999999995</v>
      </c>
      <c r="AS18" s="121">
        <f t="shared" ca="1" si="16"/>
        <v>4.25</v>
      </c>
      <c r="AT18" s="178">
        <v>7.58</v>
      </c>
      <c r="AU18" s="179"/>
      <c r="AV18" s="179"/>
      <c r="AW18" s="179"/>
      <c r="AX18" s="133">
        <f>IF(COUNTA(AT18:AW18)&gt;1,IF($AX$3="Moy.",ROUND(AVERAGE(SMALL(AT18:AW18,{1;2})),1),ROUND(MIN(AT18:AW18),1)),IF(COUNTA(AT18:AW18)=1,ROUND(MIN(AT18:AW18),1),""))</f>
        <v>7.6</v>
      </c>
      <c r="AY18" s="134">
        <f t="shared" si="34"/>
        <v>5.3</v>
      </c>
      <c r="AZ18" s="126">
        <f t="shared" si="35"/>
        <v>19.079999999999998</v>
      </c>
      <c r="BA18" s="127">
        <f t="shared" si="36"/>
        <v>0.11764705882352956</v>
      </c>
      <c r="BB18" s="140">
        <f t="shared" si="17"/>
        <v>3.9215686274509665E-2</v>
      </c>
      <c r="BC18" s="135">
        <f t="shared" ca="1" si="18"/>
        <v>7.4</v>
      </c>
      <c r="BD18" s="136">
        <f t="shared" ca="1" si="19"/>
        <v>7.6000000000000005</v>
      </c>
      <c r="BE18" s="141">
        <f t="shared" ca="1" si="20"/>
        <v>7.6000000000000005</v>
      </c>
      <c r="BF18" s="121">
        <f t="shared" ca="1" si="21"/>
        <v>3.75</v>
      </c>
      <c r="BG18" s="144">
        <f t="shared" si="22"/>
        <v>4.0999999999999996</v>
      </c>
      <c r="BH18" s="134">
        <f t="shared" si="37"/>
        <v>6.1</v>
      </c>
      <c r="BI18" s="145">
        <f t="shared" si="39"/>
        <v>21.96</v>
      </c>
      <c r="BJ18" s="146">
        <f t="shared" si="23"/>
        <v>6.75</v>
      </c>
      <c r="BK18" s="134">
        <f t="shared" si="38"/>
        <v>5.2</v>
      </c>
      <c r="BL18" s="145">
        <f t="shared" si="40"/>
        <v>18.72</v>
      </c>
    </row>
    <row r="19" spans="2:64" ht="24" customHeight="1">
      <c r="B19" s="147" t="str">
        <f>IF(Liste!B18&lt;&gt;"",Liste!B18,"")</f>
        <v>P</v>
      </c>
      <c r="C19" s="148" t="str">
        <f>IF(Liste!C18&lt;&gt;"",Liste!C18,"")</f>
        <v>M</v>
      </c>
      <c r="D19" s="119">
        <f t="shared" si="24"/>
        <v>0</v>
      </c>
      <c r="E19" s="119">
        <f t="shared" si="0"/>
        <v>0</v>
      </c>
      <c r="F19" s="119">
        <f t="shared" si="1"/>
        <v>0</v>
      </c>
      <c r="G19" s="120">
        <f t="shared" si="2"/>
        <v>0</v>
      </c>
      <c r="H19" s="149" t="str">
        <f t="shared" si="26"/>
        <v/>
      </c>
      <c r="I19" s="150"/>
      <c r="J19" s="151"/>
      <c r="K19" s="152"/>
      <c r="L19" s="152"/>
      <c r="M19" s="153" t="str">
        <f>IF(COUNTA(I19:L19)&gt;1,IF($M$3="Moy.",ROUND(AVERAGE(SMALL(I19:L19,{1;2})),1),ROUND(MIN(I19:L19),1)),IF(COUNTA(I19:L19)=1,ROUND(MIN(I19:L19),1),""))</f>
        <v/>
      </c>
      <c r="N19" s="154" t="str">
        <f t="shared" si="27"/>
        <v/>
      </c>
      <c r="O19" s="155" t="str">
        <f t="shared" si="25"/>
        <v/>
      </c>
      <c r="P19" s="156" t="str">
        <f t="shared" si="28"/>
        <v/>
      </c>
      <c r="Q19" s="157" t="str">
        <f t="shared" ca="1" si="3"/>
        <v/>
      </c>
      <c r="R19" s="129" t="str">
        <f t="shared" ca="1" si="41"/>
        <v/>
      </c>
      <c r="S19" s="158" t="str">
        <f t="shared" ca="1" si="42"/>
        <v/>
      </c>
      <c r="T19" s="159" t="str">
        <f t="shared" si="6"/>
        <v/>
      </c>
      <c r="U19" s="185"/>
      <c r="V19" s="181"/>
      <c r="W19" s="162"/>
      <c r="X19" s="162"/>
      <c r="Y19" s="163" t="str">
        <f>IF(COUNTA(U19:X19)&gt;1,IF($Y$3="Moy.",ROUND(AVERAGE(SMALL(U19:X19,{1;2})),1),ROUND(MIN(U19:X19),1)),IF(COUNTA(U19:X19)=1,ROUND(MIN(U19:X19),1),""))</f>
        <v/>
      </c>
      <c r="Z19" s="164" t="str">
        <f t="shared" si="29"/>
        <v/>
      </c>
      <c r="AA19" s="155" t="str">
        <f t="shared" si="30"/>
        <v/>
      </c>
      <c r="AB19" s="156" t="str">
        <f t="shared" si="7"/>
        <v/>
      </c>
      <c r="AC19" s="165" t="str">
        <f t="shared" ca="1" si="8"/>
        <v/>
      </c>
      <c r="AD19" s="136" t="str">
        <f t="shared" ca="1" si="9"/>
        <v/>
      </c>
      <c r="AE19" s="166" t="str">
        <f t="shared" ca="1" si="10"/>
        <v/>
      </c>
      <c r="AF19" s="149" t="str">
        <f t="shared" si="11"/>
        <v/>
      </c>
      <c r="AG19" s="180"/>
      <c r="AH19" s="161"/>
      <c r="AI19" s="162"/>
      <c r="AJ19" s="162"/>
      <c r="AK19" s="163" t="str">
        <f>IF(COUNTA(AG19:AJ19)&gt;1,IF($AK$3="Moy.",ROUND(AVERAGE(SMALL(AG19:AJ19,{1;2})),1),ROUND(MIN(AG19:AJ19),1)),IF(COUNTA(AG19:AJ19)=1,ROUND(MIN(AG19:AJ19),1),""))</f>
        <v/>
      </c>
      <c r="AL19" s="164" t="str">
        <f t="shared" si="31"/>
        <v/>
      </c>
      <c r="AM19" s="155" t="str">
        <f t="shared" si="32"/>
        <v/>
      </c>
      <c r="AN19" s="156" t="str">
        <f t="shared" si="33"/>
        <v/>
      </c>
      <c r="AO19" s="169" t="str">
        <f t="shared" si="12"/>
        <v/>
      </c>
      <c r="AP19" s="165" t="str">
        <f t="shared" ca="1" si="13"/>
        <v/>
      </c>
      <c r="AQ19" s="136" t="str">
        <f t="shared" ca="1" si="14"/>
        <v/>
      </c>
      <c r="AR19" s="136" t="str">
        <f t="shared" ca="1" si="15"/>
        <v/>
      </c>
      <c r="AS19" s="149" t="str">
        <f t="shared" si="16"/>
        <v/>
      </c>
      <c r="AT19" s="170"/>
      <c r="AU19" s="182"/>
      <c r="AV19" s="171"/>
      <c r="AW19" s="171"/>
      <c r="AX19" s="163" t="str">
        <f>IF(COUNTA(AT19:AW19)&gt;1,IF($AX$3="Moy.",ROUND(AVERAGE(SMALL(AT19:AW19,{1;2})),1),ROUND(MIN(AT19:AW19),1)),IF(COUNTA(AT19:AW19)=1,ROUND(MIN(AT19:AW19),1),""))</f>
        <v/>
      </c>
      <c r="AY19" s="164" t="str">
        <f t="shared" si="34"/>
        <v/>
      </c>
      <c r="AZ19" s="155" t="str">
        <f t="shared" si="35"/>
        <v/>
      </c>
      <c r="BA19" s="156" t="str">
        <f t="shared" si="36"/>
        <v/>
      </c>
      <c r="BB19" s="169" t="str">
        <f t="shared" si="17"/>
        <v/>
      </c>
      <c r="BC19" s="165" t="str">
        <f t="shared" ca="1" si="18"/>
        <v/>
      </c>
      <c r="BD19" s="136" t="str">
        <f t="shared" ca="1" si="19"/>
        <v/>
      </c>
      <c r="BE19" s="136" t="str">
        <f t="shared" ca="1" si="20"/>
        <v/>
      </c>
      <c r="BF19" s="149" t="str">
        <f t="shared" si="21"/>
        <v/>
      </c>
      <c r="BG19" s="172" t="str">
        <f t="shared" si="22"/>
        <v/>
      </c>
      <c r="BH19" s="164" t="str">
        <f t="shared" si="37"/>
        <v/>
      </c>
      <c r="BI19" s="173" t="str">
        <f t="shared" si="39"/>
        <v/>
      </c>
      <c r="BJ19" s="174" t="str">
        <f t="shared" si="23"/>
        <v/>
      </c>
      <c r="BK19" s="164" t="str">
        <f t="shared" si="38"/>
        <v/>
      </c>
      <c r="BL19" s="173" t="str">
        <f t="shared" si="40"/>
        <v/>
      </c>
    </row>
    <row r="20" spans="2:64" ht="24" customHeight="1">
      <c r="B20" s="117" t="str">
        <f>IF(Liste!B19&lt;&gt;"",Liste!B19,"")</f>
        <v>Q</v>
      </c>
      <c r="C20" s="118" t="str">
        <f>IF(Liste!C19&lt;&gt;"",Liste!C19,"")</f>
        <v>F</v>
      </c>
      <c r="D20" s="119">
        <f t="shared" si="24"/>
        <v>1</v>
      </c>
      <c r="E20" s="119">
        <f t="shared" si="0"/>
        <v>1</v>
      </c>
      <c r="F20" s="119">
        <f t="shared" si="1"/>
        <v>1</v>
      </c>
      <c r="G20" s="120">
        <f t="shared" si="2"/>
        <v>1</v>
      </c>
      <c r="H20" s="121">
        <f t="shared" ca="1" si="26"/>
        <v>19.333333333333332</v>
      </c>
      <c r="I20" s="122">
        <v>2.41</v>
      </c>
      <c r="J20" s="123"/>
      <c r="K20" s="123"/>
      <c r="L20" s="123"/>
      <c r="M20" s="124">
        <f>IF(COUNTA(I20:L20)&gt;1,IF($M$3="Moy.",ROUND(AVERAGE(SMALL(I20:L20,{1;2})),1),ROUND(MIN(I20:L20),1)),IF(COUNTA(I20:L20)=1,ROUND(MIN(I20:L20),1),""))</f>
        <v>2.4</v>
      </c>
      <c r="N20" s="125">
        <f t="shared" si="27"/>
        <v>4.2</v>
      </c>
      <c r="O20" s="126">
        <f t="shared" si="25"/>
        <v>15.12</v>
      </c>
      <c r="P20" s="127">
        <f t="shared" si="28"/>
        <v>1.7500000000000002</v>
      </c>
      <c r="Q20" s="128">
        <f t="shared" ca="1" si="3"/>
        <v>2.4</v>
      </c>
      <c r="R20" s="129">
        <f t="shared" ca="1" si="41"/>
        <v>2.6</v>
      </c>
      <c r="S20" s="158">
        <f t="shared" ca="1" si="42"/>
        <v>2.4</v>
      </c>
      <c r="T20" s="130">
        <f t="shared" ca="1" si="6"/>
        <v>5</v>
      </c>
      <c r="U20" s="183">
        <v>3.22</v>
      </c>
      <c r="V20" s="176"/>
      <c r="W20" s="176"/>
      <c r="X20" s="176"/>
      <c r="Y20" s="133">
        <f>IF(COUNTA(U20:X20)&gt;1,IF($Y$3="Moy.",ROUND(AVERAGE(SMALL(U20:X20,{1;2})),1),ROUND(MIN(U20:X20),1)),IF(COUNTA(U20:X20)=1,ROUND(MIN(U20:X20),1),""))</f>
        <v>3.2</v>
      </c>
      <c r="Z20" s="134">
        <f t="shared" si="29"/>
        <v>4.7</v>
      </c>
      <c r="AA20" s="126">
        <f t="shared" si="30"/>
        <v>16.920000000000002</v>
      </c>
      <c r="AB20" s="127">
        <f t="shared" si="7"/>
        <v>0.62499999999999978</v>
      </c>
      <c r="AC20" s="135">
        <f t="shared" ca="1" si="8"/>
        <v>3.2</v>
      </c>
      <c r="AD20" s="136">
        <f t="shared" ca="1" si="9"/>
        <v>3.4000000000000004</v>
      </c>
      <c r="AE20" s="137">
        <f t="shared" ca="1" si="10"/>
        <v>3.2</v>
      </c>
      <c r="AF20" s="121">
        <f t="shared" ca="1" si="11"/>
        <v>5</v>
      </c>
      <c r="AG20" s="177">
        <v>5.44</v>
      </c>
      <c r="AH20" s="176"/>
      <c r="AI20" s="176"/>
      <c r="AJ20" s="176"/>
      <c r="AK20" s="133">
        <f>IF(COUNTA(AG20:AJ20)&gt;1,IF($AK$3="Moy.",ROUND(AVERAGE(SMALL(AG20:AJ20,{1;2})),1),ROUND(MIN(AG20:AJ20),1)),IF(COUNTA(AG20:AJ20)=1,ROUND(MIN(AG20:AJ20),1),""))</f>
        <v>5.4</v>
      </c>
      <c r="AL20" s="134">
        <f t="shared" si="31"/>
        <v>5.6</v>
      </c>
      <c r="AM20" s="126">
        <f t="shared" si="32"/>
        <v>20.16</v>
      </c>
      <c r="AN20" s="127">
        <f t="shared" si="33"/>
        <v>0.40909090909090884</v>
      </c>
      <c r="AO20" s="140">
        <f t="shared" si="12"/>
        <v>0.1914893617021276</v>
      </c>
      <c r="AP20" s="135">
        <f t="shared" ca="1" si="13"/>
        <v>3</v>
      </c>
      <c r="AQ20" s="136">
        <f t="shared" ca="1" si="14"/>
        <v>5.5</v>
      </c>
      <c r="AR20" s="141">
        <f t="shared" ca="1" si="15"/>
        <v>5.5</v>
      </c>
      <c r="AS20" s="121">
        <f t="shared" ca="1" si="16"/>
        <v>5</v>
      </c>
      <c r="AT20" s="178">
        <v>6.94</v>
      </c>
      <c r="AU20" s="179"/>
      <c r="AV20" s="179"/>
      <c r="AW20" s="179"/>
      <c r="AX20" s="133">
        <f>IF(COUNTA(AT20:AW20)&gt;1,IF($AX$3="Moy.",ROUND(AVERAGE(SMALL(AT20:AW20,{1;2})),1),ROUND(MIN(AT20:AW20),1)),IF(COUNTA(AT20:AW20)=1,ROUND(MIN(AT20:AW20),1),""))</f>
        <v>6.9</v>
      </c>
      <c r="AY20" s="134">
        <f t="shared" si="34"/>
        <v>5.8</v>
      </c>
      <c r="AZ20" s="126">
        <f t="shared" si="35"/>
        <v>20.88</v>
      </c>
      <c r="BA20" s="127">
        <f t="shared" si="36"/>
        <v>0.13333333333333344</v>
      </c>
      <c r="BB20" s="140">
        <f t="shared" si="17"/>
        <v>3.5714285714285587E-2</v>
      </c>
      <c r="BC20" s="135">
        <f t="shared" ca="1" si="18"/>
        <v>6.8</v>
      </c>
      <c r="BD20" s="136">
        <f t="shared" ca="1" si="19"/>
        <v>7</v>
      </c>
      <c r="BE20" s="141">
        <f t="shared" ca="1" si="20"/>
        <v>7</v>
      </c>
      <c r="BF20" s="121">
        <f t="shared" ca="1" si="21"/>
        <v>4.5</v>
      </c>
      <c r="BG20" s="144">
        <f t="shared" si="22"/>
        <v>3.7</v>
      </c>
      <c r="BH20" s="134">
        <f t="shared" si="37"/>
        <v>6.8</v>
      </c>
      <c r="BI20" s="145">
        <f t="shared" si="39"/>
        <v>24.48</v>
      </c>
      <c r="BJ20" s="146">
        <f t="shared" si="23"/>
        <v>6.15</v>
      </c>
      <c r="BK20" s="134">
        <f t="shared" si="38"/>
        <v>5.7</v>
      </c>
      <c r="BL20" s="145">
        <f t="shared" si="40"/>
        <v>20.52</v>
      </c>
    </row>
    <row r="21" spans="2:64" ht="24" customHeight="1">
      <c r="B21" s="147" t="str">
        <f>IF(Liste!B20&lt;&gt;"",Liste!B20,"")</f>
        <v>R</v>
      </c>
      <c r="C21" s="148" t="str">
        <f>IF(Liste!C20&lt;&gt;"",Liste!C20,"")</f>
        <v>F</v>
      </c>
      <c r="D21" s="119">
        <f t="shared" si="24"/>
        <v>1</v>
      </c>
      <c r="E21" s="119">
        <f t="shared" si="0"/>
        <v>1</v>
      </c>
      <c r="F21" s="119">
        <f t="shared" si="1"/>
        <v>2</v>
      </c>
      <c r="G21" s="120">
        <f t="shared" si="2"/>
        <v>2</v>
      </c>
      <c r="H21" s="149">
        <f t="shared" ca="1" si="26"/>
        <v>19.333333333333332</v>
      </c>
      <c r="I21" s="150">
        <v>2.39</v>
      </c>
      <c r="J21" s="151"/>
      <c r="K21" s="152"/>
      <c r="L21" s="152"/>
      <c r="M21" s="153">
        <f>IF(COUNTA(I21:L21)&gt;1,IF($M$3="Moy.",ROUND(AVERAGE(SMALL(I21:L21,{1;2})),1),ROUND(MIN(I21:L21),1)),IF(COUNTA(I21:L21)=1,ROUND(MIN(I21:L21),1),""))</f>
        <v>2.4</v>
      </c>
      <c r="N21" s="154">
        <f t="shared" si="27"/>
        <v>4.2</v>
      </c>
      <c r="O21" s="155">
        <f t="shared" si="25"/>
        <v>15.12</v>
      </c>
      <c r="P21" s="156">
        <f t="shared" si="28"/>
        <v>1.7500000000000002</v>
      </c>
      <c r="Q21" s="157">
        <f t="shared" ca="1" si="3"/>
        <v>2.4</v>
      </c>
      <c r="R21" s="129">
        <f t="shared" ca="1" si="41"/>
        <v>2.6</v>
      </c>
      <c r="S21" s="158">
        <f t="shared" ca="1" si="42"/>
        <v>2.4</v>
      </c>
      <c r="T21" s="159">
        <f t="shared" ca="1" si="6"/>
        <v>5</v>
      </c>
      <c r="U21" s="185">
        <v>3.18</v>
      </c>
      <c r="V21" s="181"/>
      <c r="W21" s="162"/>
      <c r="X21" s="162"/>
      <c r="Y21" s="163">
        <f>IF(COUNTA(U21:X21)&gt;1,IF($Y$3="Moy.",ROUND(AVERAGE(SMALL(U21:X21,{1;2})),1),ROUND(MIN(U21:X21),1)),IF(COUNTA(U21:X21)=1,ROUND(MIN(U21:X21),1),""))</f>
        <v>3.2</v>
      </c>
      <c r="Z21" s="164">
        <f t="shared" si="29"/>
        <v>4.7</v>
      </c>
      <c r="AA21" s="155">
        <f t="shared" si="30"/>
        <v>16.920000000000002</v>
      </c>
      <c r="AB21" s="156">
        <f t="shared" si="7"/>
        <v>0.62499999999999978</v>
      </c>
      <c r="AC21" s="165">
        <f t="shared" ca="1" si="8"/>
        <v>3.2</v>
      </c>
      <c r="AD21" s="136">
        <f t="shared" ca="1" si="9"/>
        <v>3.4000000000000004</v>
      </c>
      <c r="AE21" s="166">
        <f t="shared" ca="1" si="10"/>
        <v>3.2</v>
      </c>
      <c r="AF21" s="149">
        <f t="shared" ca="1" si="11"/>
        <v>5</v>
      </c>
      <c r="AG21" s="180">
        <v>5.52</v>
      </c>
      <c r="AH21" s="161">
        <v>5.43</v>
      </c>
      <c r="AI21" s="162"/>
      <c r="AJ21" s="162"/>
      <c r="AK21" s="163">
        <f>IF(COUNTA(AG21:AJ21)&gt;1,IF($AK$3="Moy.",ROUND(AVERAGE(SMALL(AG21:AJ21,{1;2})),1),ROUND(MIN(AG21:AJ21),1)),IF(COUNTA(AG21:AJ21)=1,ROUND(MIN(AG21:AJ21),1),""))</f>
        <v>5.4</v>
      </c>
      <c r="AL21" s="164">
        <f t="shared" si="31"/>
        <v>5.6</v>
      </c>
      <c r="AM21" s="155">
        <f t="shared" si="32"/>
        <v>20.16</v>
      </c>
      <c r="AN21" s="156">
        <f t="shared" si="33"/>
        <v>0.40909090909090884</v>
      </c>
      <c r="AO21" s="169">
        <f t="shared" si="12"/>
        <v>0.1914893617021276</v>
      </c>
      <c r="AP21" s="165">
        <f t="shared" ca="1" si="13"/>
        <v>3</v>
      </c>
      <c r="AQ21" s="136">
        <f t="shared" ca="1" si="14"/>
        <v>5.5</v>
      </c>
      <c r="AR21" s="136">
        <f t="shared" ca="1" si="15"/>
        <v>5.5</v>
      </c>
      <c r="AS21" s="149">
        <f t="shared" ca="1" si="16"/>
        <v>5</v>
      </c>
      <c r="AT21" s="170">
        <v>6.99</v>
      </c>
      <c r="AU21" s="182">
        <v>6.94</v>
      </c>
      <c r="AV21" s="171"/>
      <c r="AW21" s="171"/>
      <c r="AX21" s="163">
        <f>IF(COUNTA(AT21:AW21)&gt;1,IF($AX$3="Moy.",ROUND(AVERAGE(SMALL(AT21:AW21,{1;2})),1),ROUND(MIN(AT21:AW21),1)),IF(COUNTA(AT21:AW21)=1,ROUND(MIN(AT21:AW21),1),""))</f>
        <v>6.9</v>
      </c>
      <c r="AY21" s="164">
        <f t="shared" si="34"/>
        <v>5.8</v>
      </c>
      <c r="AZ21" s="155">
        <f t="shared" si="35"/>
        <v>20.88</v>
      </c>
      <c r="BA21" s="156">
        <f t="shared" si="36"/>
        <v>0.13333333333333344</v>
      </c>
      <c r="BB21" s="169">
        <f t="shared" si="17"/>
        <v>3.5714285714285587E-2</v>
      </c>
      <c r="BC21" s="165">
        <f t="shared" ca="1" si="18"/>
        <v>6.8</v>
      </c>
      <c r="BD21" s="136">
        <f t="shared" ca="1" si="19"/>
        <v>7</v>
      </c>
      <c r="BE21" s="136">
        <f t="shared" ca="1" si="20"/>
        <v>7</v>
      </c>
      <c r="BF21" s="149">
        <f t="shared" ca="1" si="21"/>
        <v>4.5</v>
      </c>
      <c r="BG21" s="172">
        <f t="shared" si="22"/>
        <v>3.7</v>
      </c>
      <c r="BH21" s="164">
        <f t="shared" si="37"/>
        <v>6.8</v>
      </c>
      <c r="BI21" s="173">
        <f t="shared" si="39"/>
        <v>24.48</v>
      </c>
      <c r="BJ21" s="174">
        <f t="shared" si="23"/>
        <v>6.15</v>
      </c>
      <c r="BK21" s="164">
        <f t="shared" si="38"/>
        <v>5.7</v>
      </c>
      <c r="BL21" s="173">
        <f t="shared" si="40"/>
        <v>20.52</v>
      </c>
    </row>
    <row r="22" spans="2:64" ht="24" customHeight="1">
      <c r="B22" s="117" t="str">
        <f>IF(Liste!B21&lt;&gt;"",Liste!B21,"")</f>
        <v>S</v>
      </c>
      <c r="C22" s="118" t="str">
        <f>IF(Liste!C21&lt;&gt;"",Liste!C21,"")</f>
        <v>F</v>
      </c>
      <c r="D22" s="119">
        <f t="shared" si="24"/>
        <v>0</v>
      </c>
      <c r="E22" s="119">
        <f t="shared" si="0"/>
        <v>0</v>
      </c>
      <c r="F22" s="119">
        <f t="shared" si="1"/>
        <v>0</v>
      </c>
      <c r="G22" s="120">
        <f t="shared" si="2"/>
        <v>0</v>
      </c>
      <c r="H22" s="121" t="str">
        <f t="shared" si="26"/>
        <v/>
      </c>
      <c r="I22" s="122"/>
      <c r="J22" s="123"/>
      <c r="K22" s="123"/>
      <c r="L22" s="123"/>
      <c r="M22" s="124" t="str">
        <f>IF(COUNTA(I22:L22)&gt;1,IF($M$3="Moy.",ROUND(AVERAGE(SMALL(I22:L22,{1;2})),1),ROUND(MIN(I22:L22),1)),IF(COUNTA(I22:L22)=1,ROUND(MIN(I22:L22),1),""))</f>
        <v/>
      </c>
      <c r="N22" s="125" t="str">
        <f t="shared" si="27"/>
        <v/>
      </c>
      <c r="O22" s="126" t="str">
        <f t="shared" si="25"/>
        <v/>
      </c>
      <c r="P22" s="127" t="str">
        <f t="shared" si="28"/>
        <v/>
      </c>
      <c r="Q22" s="128" t="str">
        <f t="shared" ca="1" si="3"/>
        <v/>
      </c>
      <c r="R22" s="129" t="str">
        <f t="shared" ca="1" si="41"/>
        <v/>
      </c>
      <c r="S22" s="158" t="str">
        <f t="shared" ca="1" si="42"/>
        <v/>
      </c>
      <c r="T22" s="130" t="str">
        <f t="shared" si="6"/>
        <v/>
      </c>
      <c r="U22" s="175"/>
      <c r="V22" s="176"/>
      <c r="W22" s="176"/>
      <c r="X22" s="176"/>
      <c r="Y22" s="133" t="str">
        <f>IF(COUNTA(U22:X22)&gt;1,IF($Y$3="Moy.",ROUND(AVERAGE(SMALL(U22:X22,{1;2})),1),ROUND(MIN(U22:X22),1)),IF(COUNTA(U22:X22)=1,ROUND(MIN(U22:X22),1),""))</f>
        <v/>
      </c>
      <c r="Z22" s="134" t="str">
        <f t="shared" si="29"/>
        <v/>
      </c>
      <c r="AA22" s="126" t="str">
        <f t="shared" si="30"/>
        <v/>
      </c>
      <c r="AB22" s="127" t="str">
        <f t="shared" si="7"/>
        <v/>
      </c>
      <c r="AC22" s="135" t="str">
        <f t="shared" ca="1" si="8"/>
        <v/>
      </c>
      <c r="AD22" s="136" t="str">
        <f t="shared" ca="1" si="9"/>
        <v/>
      </c>
      <c r="AE22" s="137" t="str">
        <f t="shared" ca="1" si="10"/>
        <v/>
      </c>
      <c r="AF22" s="121" t="str">
        <f t="shared" si="11"/>
        <v/>
      </c>
      <c r="AG22" s="177"/>
      <c r="AH22" s="176"/>
      <c r="AI22" s="176"/>
      <c r="AJ22" s="176"/>
      <c r="AK22" s="133" t="str">
        <f>IF(COUNTA(AG22:AJ22)&gt;1,IF($AK$3="Moy.",ROUND(AVERAGE(SMALL(AG22:AJ22,{1;2})),1),ROUND(MIN(AG22:AJ22),1)),IF(COUNTA(AG22:AJ22)=1,ROUND(MIN(AG22:AJ22),1),""))</f>
        <v/>
      </c>
      <c r="AL22" s="134" t="str">
        <f t="shared" si="31"/>
        <v/>
      </c>
      <c r="AM22" s="126" t="str">
        <f t="shared" si="32"/>
        <v/>
      </c>
      <c r="AN22" s="127" t="str">
        <f t="shared" si="33"/>
        <v/>
      </c>
      <c r="AO22" s="140" t="str">
        <f t="shared" si="12"/>
        <v/>
      </c>
      <c r="AP22" s="135" t="str">
        <f t="shared" ca="1" si="13"/>
        <v/>
      </c>
      <c r="AQ22" s="136" t="str">
        <f t="shared" ca="1" si="14"/>
        <v/>
      </c>
      <c r="AR22" s="141" t="str">
        <f t="shared" ca="1" si="15"/>
        <v/>
      </c>
      <c r="AS22" s="121" t="str">
        <f t="shared" si="16"/>
        <v/>
      </c>
      <c r="AT22" s="178"/>
      <c r="AU22" s="179"/>
      <c r="AV22" s="179"/>
      <c r="AW22" s="179"/>
      <c r="AX22" s="133" t="str">
        <f>IF(COUNTA(AT22:AW22)&gt;1,IF($AX$3="Moy.",ROUND(AVERAGE(SMALL(AT22:AW22,{1;2})),1),ROUND(MIN(AT22:AW22),1)),IF(COUNTA(AT22:AW22)=1,ROUND(MIN(AT22:AW22),1),""))</f>
        <v/>
      </c>
      <c r="AY22" s="134" t="str">
        <f t="shared" si="34"/>
        <v/>
      </c>
      <c r="AZ22" s="126" t="str">
        <f t="shared" si="35"/>
        <v/>
      </c>
      <c r="BA22" s="127" t="str">
        <f t="shared" si="36"/>
        <v/>
      </c>
      <c r="BB22" s="140" t="str">
        <f t="shared" si="17"/>
        <v/>
      </c>
      <c r="BC22" s="135" t="str">
        <f t="shared" ca="1" si="18"/>
        <v/>
      </c>
      <c r="BD22" s="136" t="str">
        <f t="shared" ca="1" si="19"/>
        <v/>
      </c>
      <c r="BE22" s="141" t="str">
        <f t="shared" ca="1" si="20"/>
        <v/>
      </c>
      <c r="BF22" s="121" t="str">
        <f t="shared" si="21"/>
        <v/>
      </c>
      <c r="BG22" s="144" t="str">
        <f t="shared" si="22"/>
        <v/>
      </c>
      <c r="BH22" s="134" t="str">
        <f t="shared" si="37"/>
        <v/>
      </c>
      <c r="BI22" s="145" t="str">
        <f t="shared" si="39"/>
        <v/>
      </c>
      <c r="BJ22" s="146" t="str">
        <f t="shared" si="23"/>
        <v/>
      </c>
      <c r="BK22" s="134" t="str">
        <f t="shared" si="38"/>
        <v/>
      </c>
      <c r="BL22" s="145" t="str">
        <f t="shared" si="40"/>
        <v/>
      </c>
    </row>
    <row r="23" spans="2:64" ht="24" customHeight="1">
      <c r="B23" s="147" t="str">
        <f>IF(Liste!B22&lt;&gt;"",Liste!B22,"")</f>
        <v>T</v>
      </c>
      <c r="C23" s="148" t="str">
        <f>IF(Liste!C22&lt;&gt;"",Liste!C22,"")</f>
        <v>F</v>
      </c>
      <c r="D23" s="119">
        <f t="shared" si="24"/>
        <v>2</v>
      </c>
      <c r="E23" s="119">
        <f t="shared" si="0"/>
        <v>2</v>
      </c>
      <c r="F23" s="119">
        <f t="shared" si="1"/>
        <v>2</v>
      </c>
      <c r="G23" s="120">
        <f t="shared" si="2"/>
        <v>2</v>
      </c>
      <c r="H23" s="149">
        <f t="shared" ca="1" si="26"/>
        <v>11.666666666666668</v>
      </c>
      <c r="I23" s="150">
        <v>2.75</v>
      </c>
      <c r="J23" s="151">
        <v>2.62</v>
      </c>
      <c r="K23" s="152"/>
      <c r="L23" s="152"/>
      <c r="M23" s="153">
        <f>IF(COUNTA(I23:L23)&gt;1,IF($M$3="Moy.",ROUND(AVERAGE(SMALL(I23:L23,{1;2})),1),ROUND(MIN(I23:L23),1)),IF(COUNTA(I23:L23)=1,ROUND(MIN(I23:L23),1),""))</f>
        <v>2.6</v>
      </c>
      <c r="N23" s="154">
        <f t="shared" si="27"/>
        <v>3.8</v>
      </c>
      <c r="O23" s="155">
        <f t="shared" si="25"/>
        <v>13.68</v>
      </c>
      <c r="P23" s="156">
        <f t="shared" si="28"/>
        <v>1.4615384615384615</v>
      </c>
      <c r="Q23" s="157">
        <f t="shared" ca="1" si="3"/>
        <v>2.6</v>
      </c>
      <c r="R23" s="129">
        <f t="shared" ca="1" si="41"/>
        <v>2.8000000000000003</v>
      </c>
      <c r="S23" s="158">
        <f t="shared" ca="1" si="42"/>
        <v>2.6</v>
      </c>
      <c r="T23" s="159">
        <f t="shared" ca="1" si="6"/>
        <v>4</v>
      </c>
      <c r="U23" s="185">
        <v>3.7</v>
      </c>
      <c r="V23" s="181">
        <v>3.6</v>
      </c>
      <c r="W23" s="162"/>
      <c r="X23" s="162"/>
      <c r="Y23" s="163">
        <f>IF(COUNTA(U23:X23)&gt;1,IF($Y$3="Moy.",ROUND(AVERAGE(SMALL(U23:X23,{1;2})),1),ROUND(MIN(U23:X23),1)),IF(COUNTA(U23:X23)=1,ROUND(MIN(U23:X23),1),""))</f>
        <v>3.6</v>
      </c>
      <c r="Z23" s="164">
        <f t="shared" si="29"/>
        <v>4.2</v>
      </c>
      <c r="AA23" s="155">
        <f t="shared" si="30"/>
        <v>15.12</v>
      </c>
      <c r="AB23" s="156">
        <f t="shared" si="7"/>
        <v>0.40000000000000036</v>
      </c>
      <c r="AC23" s="165">
        <f t="shared" ca="1" si="8"/>
        <v>3.4000000000000004</v>
      </c>
      <c r="AD23" s="136">
        <f t="shared" ca="1" si="9"/>
        <v>3.6000000000000005</v>
      </c>
      <c r="AE23" s="166">
        <f t="shared" ca="1" si="10"/>
        <v>3.6000000000000005</v>
      </c>
      <c r="AF23" s="149">
        <f t="shared" ca="1" si="11"/>
        <v>3</v>
      </c>
      <c r="AG23" s="180">
        <v>6.56</v>
      </c>
      <c r="AH23" s="181">
        <v>6.4</v>
      </c>
      <c r="AI23" s="162"/>
      <c r="AJ23" s="162"/>
      <c r="AK23" s="163">
        <f>IF(COUNTA(AG23:AJ23)&gt;1,IF($AK$3="Moy.",ROUND(AVERAGE(SMALL(AG23:AJ23,{1;2})),1),ROUND(MIN(AG23:AJ23),1)),IF(COUNTA(AG23:AJ23)=1,ROUND(MIN(AG23:AJ23),1),""))</f>
        <v>6.4</v>
      </c>
      <c r="AL23" s="164">
        <f t="shared" si="31"/>
        <v>4.7</v>
      </c>
      <c r="AM23" s="155">
        <f t="shared" si="32"/>
        <v>16.920000000000002</v>
      </c>
      <c r="AN23" s="156">
        <f t="shared" si="33"/>
        <v>0.17857142857142855</v>
      </c>
      <c r="AO23" s="169">
        <f t="shared" si="12"/>
        <v>0.11904761904761929</v>
      </c>
      <c r="AP23" s="165">
        <f t="shared" ca="1" si="13"/>
        <v>6.3999999999999977</v>
      </c>
      <c r="AQ23" s="136">
        <f t="shared" ca="1" si="14"/>
        <v>6.5999999999999979</v>
      </c>
      <c r="AR23" s="136">
        <f t="shared" ca="1" si="15"/>
        <v>6.3999999999999977</v>
      </c>
      <c r="AS23" s="149">
        <f t="shared" ca="1" si="16"/>
        <v>3</v>
      </c>
      <c r="AT23" s="170">
        <v>8.5</v>
      </c>
      <c r="AU23" s="182">
        <v>8.3000000000000007</v>
      </c>
      <c r="AV23" s="171"/>
      <c r="AW23" s="171"/>
      <c r="AX23" s="163">
        <f>IF(COUNTA(AT23:AW23)&gt;1,IF($AX$3="Moy.",ROUND(AVERAGE(SMALL(AT23:AW23,{1;2})),1),ROUND(MIN(AT23:AW23),1)),IF(COUNTA(AT23:AW23)=1,ROUND(MIN(AT23:AW23),1),""))</f>
        <v>8.3000000000000007</v>
      </c>
      <c r="AY23" s="164">
        <f t="shared" si="34"/>
        <v>4.8</v>
      </c>
      <c r="AZ23" s="155">
        <f t="shared" si="35"/>
        <v>17.28</v>
      </c>
      <c r="BA23" s="156">
        <f t="shared" si="36"/>
        <v>5.2631578947368224E-2</v>
      </c>
      <c r="BB23" s="169">
        <f t="shared" si="17"/>
        <v>2.1276595744680771E-2</v>
      </c>
      <c r="BC23" s="165">
        <f t="shared" ca="1" si="18"/>
        <v>8.1999999999999993</v>
      </c>
      <c r="BD23" s="136">
        <f t="shared" ca="1" si="19"/>
        <v>8.5</v>
      </c>
      <c r="BE23" s="136">
        <f t="shared" ca="1" si="20"/>
        <v>8.5</v>
      </c>
      <c r="BF23" s="149">
        <f t="shared" ca="1" si="21"/>
        <v>2.75</v>
      </c>
      <c r="BG23" s="172">
        <f t="shared" si="22"/>
        <v>4.7000000000000011</v>
      </c>
      <c r="BH23" s="164">
        <f t="shared" si="37"/>
        <v>5.3</v>
      </c>
      <c r="BI23" s="173">
        <f t="shared" si="39"/>
        <v>19.079999999999998</v>
      </c>
      <c r="BJ23" s="174">
        <f t="shared" si="23"/>
        <v>7.3500000000000005</v>
      </c>
      <c r="BK23" s="164">
        <f t="shared" si="38"/>
        <v>4.8</v>
      </c>
      <c r="BL23" s="173">
        <f t="shared" si="40"/>
        <v>17.28</v>
      </c>
    </row>
    <row r="24" spans="2:64" ht="24" customHeight="1">
      <c r="B24" s="117" t="str">
        <f>IF(Liste!B23&lt;&gt;"",Liste!B23,"")</f>
        <v>U</v>
      </c>
      <c r="C24" s="118" t="str">
        <f>IF(Liste!C23&lt;&gt;"",Liste!C23,"")</f>
        <v>F</v>
      </c>
      <c r="D24" s="119">
        <f t="shared" si="24"/>
        <v>1</v>
      </c>
      <c r="E24" s="119">
        <f t="shared" si="0"/>
        <v>1</v>
      </c>
      <c r="F24" s="119">
        <f t="shared" si="1"/>
        <v>1</v>
      </c>
      <c r="G24" s="120">
        <f t="shared" si="2"/>
        <v>1</v>
      </c>
      <c r="H24" s="121">
        <f t="shared" ca="1" si="26"/>
        <v>12</v>
      </c>
      <c r="I24" s="122">
        <v>2.66</v>
      </c>
      <c r="J24" s="123"/>
      <c r="K24" s="123"/>
      <c r="L24" s="123"/>
      <c r="M24" s="124">
        <f>IF(COUNTA(I24:L24)&gt;1,IF($M$3="Moy.",ROUND(AVERAGE(SMALL(I24:L24,{1;2})),1),ROUND(MIN(I24:L24),1)),IF(COUNTA(I24:L24)=1,ROUND(MIN(I24:L24),1),""))</f>
        <v>2.7</v>
      </c>
      <c r="N24" s="125">
        <f t="shared" si="27"/>
        <v>3.7</v>
      </c>
      <c r="O24" s="126">
        <f t="shared" si="25"/>
        <v>13.32</v>
      </c>
      <c r="P24" s="127">
        <f t="shared" si="28"/>
        <v>1.3703703703703702</v>
      </c>
      <c r="Q24" s="128">
        <f t="shared" ca="1" si="3"/>
        <v>2.6</v>
      </c>
      <c r="R24" s="129">
        <f t="shared" ca="1" si="41"/>
        <v>2.8000000000000003</v>
      </c>
      <c r="S24" s="158">
        <f t="shared" ca="1" si="42"/>
        <v>2.8000000000000003</v>
      </c>
      <c r="T24" s="130">
        <f t="shared" ca="1" si="6"/>
        <v>3</v>
      </c>
      <c r="U24" s="175">
        <v>3.61</v>
      </c>
      <c r="V24" s="176"/>
      <c r="W24" s="176"/>
      <c r="X24" s="176"/>
      <c r="Y24" s="133">
        <f>IF(COUNTA(U24:X24)&gt;1,IF($Y$3="Moy.",ROUND(AVERAGE(SMALL(U24:X24,{1;2})),1),ROUND(MIN(U24:X24),1)),IF(COUNTA(U24:X24)=1,ROUND(MIN(U24:X24),1),""))</f>
        <v>3.6</v>
      </c>
      <c r="Z24" s="134">
        <f t="shared" si="29"/>
        <v>4.2</v>
      </c>
      <c r="AA24" s="126">
        <f t="shared" si="30"/>
        <v>15.12</v>
      </c>
      <c r="AB24" s="127">
        <f t="shared" si="7"/>
        <v>0.55555555555555558</v>
      </c>
      <c r="AC24" s="135">
        <f t="shared" ca="1" si="8"/>
        <v>3.4000000000000004</v>
      </c>
      <c r="AD24" s="136">
        <f t="shared" ca="1" si="9"/>
        <v>3.6000000000000005</v>
      </c>
      <c r="AE24" s="137">
        <f t="shared" ca="1" si="10"/>
        <v>3.6000000000000005</v>
      </c>
      <c r="AF24" s="121">
        <f t="shared" ca="1" si="11"/>
        <v>3</v>
      </c>
      <c r="AG24" s="177">
        <v>6.31</v>
      </c>
      <c r="AH24" s="176"/>
      <c r="AI24" s="176"/>
      <c r="AJ24" s="176"/>
      <c r="AK24" s="133">
        <f>IF(COUNTA(AG24:AJ24)&gt;1,IF($AK$3="Moy.",ROUND(AVERAGE(SMALL(AG24:AJ24,{1;2})),1),ROUND(MIN(AG24:AJ24),1)),IF(COUNTA(AG24:AJ24)=1,ROUND(MIN(AG24:AJ24),1),""))</f>
        <v>6.3</v>
      </c>
      <c r="AL24" s="134">
        <f t="shared" si="31"/>
        <v>4.8</v>
      </c>
      <c r="AM24" s="126">
        <f t="shared" si="32"/>
        <v>17.28</v>
      </c>
      <c r="AN24" s="127">
        <f t="shared" si="33"/>
        <v>0.2222222222222221</v>
      </c>
      <c r="AO24" s="140">
        <f t="shared" si="12"/>
        <v>0.14285714285714302</v>
      </c>
      <c r="AP24" s="135">
        <f t="shared" ca="1" si="13"/>
        <v>6.299999999999998</v>
      </c>
      <c r="AQ24" s="136">
        <f t="shared" ca="1" si="14"/>
        <v>6.3999999999999977</v>
      </c>
      <c r="AR24" s="141">
        <f t="shared" ca="1" si="15"/>
        <v>6.299999999999998</v>
      </c>
      <c r="AS24" s="121">
        <f t="shared" ca="1" si="16"/>
        <v>3.25</v>
      </c>
      <c r="AT24" s="178">
        <v>8.25</v>
      </c>
      <c r="AU24" s="179"/>
      <c r="AV24" s="179"/>
      <c r="AW24" s="179"/>
      <c r="AX24" s="133">
        <f>IF(COUNTA(AT24:AW24)&gt;1,IF($AX$3="Moy.",ROUND(AVERAGE(SMALL(AT24:AW24,{1;2})),1),ROUND(MIN(AT24:AW24),1)),IF(COUNTA(AT24:AW24)=1,ROUND(MIN(AT24:AW24),1),""))</f>
        <v>8.3000000000000007</v>
      </c>
      <c r="AY24" s="134">
        <f t="shared" si="34"/>
        <v>4.8</v>
      </c>
      <c r="AZ24" s="126">
        <f t="shared" si="35"/>
        <v>17.28</v>
      </c>
      <c r="BA24" s="127">
        <f t="shared" si="36"/>
        <v>0</v>
      </c>
      <c r="BB24" s="140">
        <f t="shared" si="17"/>
        <v>0</v>
      </c>
      <c r="BC24" s="135">
        <f t="shared" ca="1" si="18"/>
        <v>8.1999999999999993</v>
      </c>
      <c r="BD24" s="136">
        <f t="shared" ca="1" si="19"/>
        <v>8.5</v>
      </c>
      <c r="BE24" s="141">
        <f t="shared" ca="1" si="20"/>
        <v>8.5</v>
      </c>
      <c r="BF24" s="121">
        <f t="shared" ca="1" si="21"/>
        <v>2.75</v>
      </c>
      <c r="BG24" s="144">
        <f t="shared" si="22"/>
        <v>4.7000000000000011</v>
      </c>
      <c r="BH24" s="134">
        <f t="shared" si="37"/>
        <v>5.3</v>
      </c>
      <c r="BI24" s="145">
        <f t="shared" si="39"/>
        <v>19.079999999999998</v>
      </c>
      <c r="BJ24" s="146">
        <f t="shared" si="23"/>
        <v>7.3000000000000007</v>
      </c>
      <c r="BK24" s="134">
        <f t="shared" si="38"/>
        <v>4.8</v>
      </c>
      <c r="BL24" s="145">
        <f t="shared" si="40"/>
        <v>17.28</v>
      </c>
    </row>
    <row r="25" spans="2:64" ht="24" customHeight="1">
      <c r="B25" s="147" t="str">
        <f>IF(Liste!B24&lt;&gt;"",Liste!B24,"")</f>
        <v>V</v>
      </c>
      <c r="C25" s="148" t="str">
        <f>IF(Liste!C24&lt;&gt;"",Liste!C24,"")</f>
        <v>F</v>
      </c>
      <c r="D25" s="119">
        <f t="shared" si="24"/>
        <v>1</v>
      </c>
      <c r="E25" s="119">
        <f t="shared" si="0"/>
        <v>1</v>
      </c>
      <c r="F25" s="119">
        <f t="shared" si="1"/>
        <v>1</v>
      </c>
      <c r="G25" s="120">
        <f t="shared" si="2"/>
        <v>1</v>
      </c>
      <c r="H25" s="149">
        <f t="shared" ca="1" si="26"/>
        <v>16.666666666666668</v>
      </c>
      <c r="I25" s="150">
        <v>2.48</v>
      </c>
      <c r="J25" s="151"/>
      <c r="K25" s="152"/>
      <c r="L25" s="152"/>
      <c r="M25" s="153">
        <f>IF(COUNTA(I25:L25)&gt;1,IF($M$3="Moy.",ROUND(AVERAGE(SMALL(I25:L25,{1;2})),1),ROUND(MIN(I25:L25),1)),IF(COUNTA(I25:L25)=1,ROUND(MIN(I25:L25),1),""))</f>
        <v>2.5</v>
      </c>
      <c r="N25" s="154">
        <f t="shared" si="27"/>
        <v>4</v>
      </c>
      <c r="O25" s="155">
        <f t="shared" si="25"/>
        <v>14.4</v>
      </c>
      <c r="P25" s="156">
        <f t="shared" si="28"/>
        <v>1.6</v>
      </c>
      <c r="Q25" s="157">
        <f t="shared" ca="1" si="3"/>
        <v>2.4</v>
      </c>
      <c r="R25" s="129">
        <f t="shared" ca="1" si="41"/>
        <v>2.6</v>
      </c>
      <c r="S25" s="158">
        <f t="shared" ca="1" si="42"/>
        <v>2.6</v>
      </c>
      <c r="T25" s="159">
        <f t="shared" ca="1" si="6"/>
        <v>4</v>
      </c>
      <c r="U25" s="160">
        <v>3.35</v>
      </c>
      <c r="V25" s="181"/>
      <c r="W25" s="162"/>
      <c r="X25" s="162"/>
      <c r="Y25" s="163">
        <f>IF(COUNTA(U25:X25)&gt;1,IF($Y$3="Moy.",ROUND(AVERAGE(SMALL(U25:X25,{1;2})),1),ROUND(MIN(U25:X25),1)),IF(COUNTA(U25:X25)=1,ROUND(MIN(U25:X25),1),""))</f>
        <v>3.4</v>
      </c>
      <c r="Z25" s="164">
        <f t="shared" si="29"/>
        <v>4.4000000000000004</v>
      </c>
      <c r="AA25" s="155">
        <f t="shared" si="30"/>
        <v>15.840000000000002</v>
      </c>
      <c r="AB25" s="156">
        <f t="shared" si="7"/>
        <v>0.44444444444444486</v>
      </c>
      <c r="AC25" s="165">
        <f t="shared" ca="1" si="8"/>
        <v>3.2</v>
      </c>
      <c r="AD25" s="136">
        <f t="shared" ca="1" si="9"/>
        <v>3.4000000000000004</v>
      </c>
      <c r="AE25" s="166">
        <f t="shared" ca="1" si="10"/>
        <v>3.4000000000000004</v>
      </c>
      <c r="AF25" s="149">
        <f t="shared" ca="1" si="11"/>
        <v>4</v>
      </c>
      <c r="AG25" s="180">
        <v>5.69</v>
      </c>
      <c r="AH25" s="181"/>
      <c r="AI25" s="162"/>
      <c r="AJ25" s="162"/>
      <c r="AK25" s="163">
        <f>IF(COUNTA(AG25:AJ25)&gt;1,IF($AK$3="Moy.",ROUND(AVERAGE(SMALL(AG25:AJ25,{1;2})),1),ROUND(MIN(AG25:AJ25),1)),IF(COUNTA(AG25:AJ25)=1,ROUND(MIN(AG25:AJ25),1),""))</f>
        <v>5.7</v>
      </c>
      <c r="AL25" s="164">
        <f t="shared" si="31"/>
        <v>5.3</v>
      </c>
      <c r="AM25" s="155">
        <f t="shared" si="32"/>
        <v>19.079999999999998</v>
      </c>
      <c r="AN25" s="156">
        <f t="shared" si="33"/>
        <v>0.3913043478260867</v>
      </c>
      <c r="AO25" s="169">
        <f t="shared" si="12"/>
        <v>0.20454545454545436</v>
      </c>
      <c r="AP25" s="165">
        <f t="shared" ca="1" si="13"/>
        <v>5.6999999999999993</v>
      </c>
      <c r="AQ25" s="136">
        <f t="shared" ca="1" si="14"/>
        <v>5.8999999999999995</v>
      </c>
      <c r="AR25" s="136">
        <f t="shared" ca="1" si="15"/>
        <v>5.6999999999999993</v>
      </c>
      <c r="AS25" s="149">
        <f t="shared" ca="1" si="16"/>
        <v>4.5</v>
      </c>
      <c r="AT25" s="170">
        <v>7.27</v>
      </c>
      <c r="AU25" s="182"/>
      <c r="AV25" s="171"/>
      <c r="AW25" s="171"/>
      <c r="AX25" s="163">
        <f>IF(COUNTA(AT25:AW25)&gt;1,IF($AX$3="Moy.",ROUND(AVERAGE(SMALL(AT25:AW25,{1;2})),1),ROUND(MIN(AT25:AW25),1)),IF(COUNTA(AT25:AW25)=1,ROUND(MIN(AT25:AW25),1),""))</f>
        <v>7.3</v>
      </c>
      <c r="AY25" s="164">
        <f t="shared" si="34"/>
        <v>5.5</v>
      </c>
      <c r="AZ25" s="155">
        <f t="shared" si="35"/>
        <v>19.8</v>
      </c>
      <c r="BA25" s="156">
        <f t="shared" si="36"/>
        <v>0.12500000000000014</v>
      </c>
      <c r="BB25" s="169">
        <f t="shared" si="17"/>
        <v>3.7735849056603987E-2</v>
      </c>
      <c r="BC25" s="165">
        <f t="shared" ca="1" si="18"/>
        <v>7.2</v>
      </c>
      <c r="BD25" s="136">
        <f t="shared" ca="1" si="19"/>
        <v>7.4</v>
      </c>
      <c r="BE25" s="136">
        <f t="shared" ca="1" si="20"/>
        <v>7.4</v>
      </c>
      <c r="BF25" s="149">
        <f t="shared" ca="1" si="21"/>
        <v>4</v>
      </c>
      <c r="BG25" s="172">
        <f t="shared" si="22"/>
        <v>3.9</v>
      </c>
      <c r="BH25" s="164">
        <f t="shared" si="37"/>
        <v>6.4</v>
      </c>
      <c r="BI25" s="173">
        <f t="shared" si="39"/>
        <v>23.04</v>
      </c>
      <c r="BJ25" s="174">
        <f t="shared" si="23"/>
        <v>6.5</v>
      </c>
      <c r="BK25" s="164">
        <f t="shared" si="38"/>
        <v>5.4</v>
      </c>
      <c r="BL25" s="173">
        <f t="shared" si="40"/>
        <v>19.440000000000001</v>
      </c>
    </row>
    <row r="26" spans="2:64" ht="24" customHeight="1">
      <c r="B26" s="117" t="str">
        <f>IF(Liste!B25&lt;&gt;"",Liste!B25,"")</f>
        <v>W</v>
      </c>
      <c r="C26" s="118" t="str">
        <f>IF(Liste!C25&lt;&gt;"",Liste!C25,"")</f>
        <v>F</v>
      </c>
      <c r="D26" s="119">
        <f t="shared" si="24"/>
        <v>0</v>
      </c>
      <c r="E26" s="119">
        <f t="shared" si="0"/>
        <v>0</v>
      </c>
      <c r="F26" s="119">
        <f t="shared" si="1"/>
        <v>0</v>
      </c>
      <c r="G26" s="120">
        <f t="shared" si="2"/>
        <v>0</v>
      </c>
      <c r="H26" s="121" t="str">
        <f t="shared" si="26"/>
        <v/>
      </c>
      <c r="I26" s="122"/>
      <c r="J26" s="123"/>
      <c r="K26" s="123"/>
      <c r="L26" s="123"/>
      <c r="M26" s="124" t="str">
        <f>IF(COUNTA(I26:L26)&gt;1,IF($M$3="Moy.",ROUND(AVERAGE(SMALL(I26:L26,{1;2})),1),ROUND(MIN(I26:L26),1)),IF(COUNTA(I26:L26)=1,ROUND(MIN(I26:L26),1),""))</f>
        <v/>
      </c>
      <c r="N26" s="125" t="str">
        <f t="shared" si="27"/>
        <v/>
      </c>
      <c r="O26" s="126" t="str">
        <f t="shared" si="25"/>
        <v/>
      </c>
      <c r="P26" s="127" t="str">
        <f t="shared" si="28"/>
        <v/>
      </c>
      <c r="Q26" s="128" t="str">
        <f t="shared" ca="1" si="3"/>
        <v/>
      </c>
      <c r="R26" s="129" t="str">
        <f t="shared" ca="1" si="41"/>
        <v/>
      </c>
      <c r="S26" s="158" t="str">
        <f t="shared" ca="1" si="42"/>
        <v/>
      </c>
      <c r="T26" s="130" t="str">
        <f t="shared" si="6"/>
        <v/>
      </c>
      <c r="U26" s="175"/>
      <c r="V26" s="176"/>
      <c r="W26" s="176"/>
      <c r="X26" s="176"/>
      <c r="Y26" s="133" t="str">
        <f>IF(COUNTA(U26:X26)&gt;1,IF($Y$3="Moy.",ROUND(AVERAGE(SMALL(U26:X26,{1;2})),1),ROUND(MIN(U26:X26),1)),IF(COUNTA(U26:X26)=1,ROUND(MIN(U26:X26),1),""))</f>
        <v/>
      </c>
      <c r="Z26" s="134" t="str">
        <f t="shared" si="29"/>
        <v/>
      </c>
      <c r="AA26" s="126" t="str">
        <f t="shared" si="30"/>
        <v/>
      </c>
      <c r="AB26" s="127" t="str">
        <f t="shared" si="7"/>
        <v/>
      </c>
      <c r="AC26" s="135" t="str">
        <f t="shared" ca="1" si="8"/>
        <v/>
      </c>
      <c r="AD26" s="136" t="str">
        <f t="shared" ca="1" si="9"/>
        <v/>
      </c>
      <c r="AE26" s="137" t="str">
        <f t="shared" ca="1" si="10"/>
        <v/>
      </c>
      <c r="AF26" s="121" t="str">
        <f t="shared" si="11"/>
        <v/>
      </c>
      <c r="AG26" s="177"/>
      <c r="AH26" s="176"/>
      <c r="AI26" s="176"/>
      <c r="AJ26" s="176"/>
      <c r="AK26" s="133" t="str">
        <f>IF(COUNTA(AG26:AJ26)&gt;1,IF($AK$3="Moy.",ROUND(AVERAGE(SMALL(AG26:AJ26,{1;2})),1),ROUND(MIN(AG26:AJ26),1)),IF(COUNTA(AG26:AJ26)=1,ROUND(MIN(AG26:AJ26),1),""))</f>
        <v/>
      </c>
      <c r="AL26" s="134" t="str">
        <f t="shared" si="31"/>
        <v/>
      </c>
      <c r="AM26" s="126" t="str">
        <f t="shared" si="32"/>
        <v/>
      </c>
      <c r="AN26" s="127" t="str">
        <f t="shared" si="33"/>
        <v/>
      </c>
      <c r="AO26" s="140" t="str">
        <f t="shared" si="12"/>
        <v/>
      </c>
      <c r="AP26" s="135" t="str">
        <f t="shared" ca="1" si="13"/>
        <v/>
      </c>
      <c r="AQ26" s="136" t="str">
        <f t="shared" ca="1" si="14"/>
        <v/>
      </c>
      <c r="AR26" s="141" t="str">
        <f t="shared" ca="1" si="15"/>
        <v/>
      </c>
      <c r="AS26" s="121" t="str">
        <f t="shared" si="16"/>
        <v/>
      </c>
      <c r="AT26" s="178"/>
      <c r="AU26" s="179"/>
      <c r="AV26" s="179"/>
      <c r="AW26" s="179"/>
      <c r="AX26" s="133" t="str">
        <f>IF(COUNTA(AT26:AW26)&gt;1,IF($AX$3="Moy.",ROUND(AVERAGE(SMALL(AT26:AW26,{1;2})),1),ROUND(MIN(AT26:AW26),1)),IF(COUNTA(AT26:AW26)=1,ROUND(MIN(AT26:AW26),1),""))</f>
        <v/>
      </c>
      <c r="AY26" s="134" t="str">
        <f t="shared" si="34"/>
        <v/>
      </c>
      <c r="AZ26" s="126" t="str">
        <f t="shared" si="35"/>
        <v/>
      </c>
      <c r="BA26" s="127" t="str">
        <f t="shared" si="36"/>
        <v/>
      </c>
      <c r="BB26" s="140" t="str">
        <f t="shared" si="17"/>
        <v/>
      </c>
      <c r="BC26" s="135" t="str">
        <f t="shared" ca="1" si="18"/>
        <v/>
      </c>
      <c r="BD26" s="136" t="str">
        <f t="shared" ca="1" si="19"/>
        <v/>
      </c>
      <c r="BE26" s="141" t="str">
        <f t="shared" ca="1" si="20"/>
        <v/>
      </c>
      <c r="BF26" s="121" t="str">
        <f t="shared" si="21"/>
        <v/>
      </c>
      <c r="BG26" s="144" t="str">
        <f t="shared" si="22"/>
        <v/>
      </c>
      <c r="BH26" s="134" t="str">
        <f t="shared" si="37"/>
        <v/>
      </c>
      <c r="BI26" s="145" t="str">
        <f t="shared" si="39"/>
        <v/>
      </c>
      <c r="BJ26" s="146" t="str">
        <f t="shared" si="23"/>
        <v/>
      </c>
      <c r="BK26" s="134" t="str">
        <f t="shared" si="38"/>
        <v/>
      </c>
      <c r="BL26" s="145" t="str">
        <f t="shared" si="40"/>
        <v/>
      </c>
    </row>
    <row r="27" spans="2:64" ht="24" customHeight="1">
      <c r="B27" s="147" t="str">
        <f>IF(Liste!B26&lt;&gt;"",Liste!B26,"")</f>
        <v>X</v>
      </c>
      <c r="C27" s="148" t="str">
        <f>IF(Liste!C26&lt;&gt;"",Liste!C26,"")</f>
        <v>M</v>
      </c>
      <c r="D27" s="119">
        <f t="shared" si="24"/>
        <v>2</v>
      </c>
      <c r="E27" s="119">
        <f t="shared" si="0"/>
        <v>2</v>
      </c>
      <c r="F27" s="119">
        <f t="shared" si="1"/>
        <v>2</v>
      </c>
      <c r="G27" s="120">
        <f t="shared" si="2"/>
        <v>2</v>
      </c>
      <c r="H27" s="149">
        <f t="shared" ca="1" si="26"/>
        <v>13.666666666666668</v>
      </c>
      <c r="I27" s="150">
        <v>2.34</v>
      </c>
      <c r="J27" s="151">
        <v>2.37</v>
      </c>
      <c r="K27" s="152"/>
      <c r="L27" s="152"/>
      <c r="M27" s="153">
        <f>IF(COUNTA(I27:L27)&gt;1,IF($M$3="Moy.",ROUND(AVERAGE(SMALL(I27:L27,{1;2})),1),ROUND(MIN(I27:L27),1)),IF(COUNTA(I27:L27)=1,ROUND(MIN(I27:L27),1),""))</f>
        <v>2.2999999999999998</v>
      </c>
      <c r="N27" s="154">
        <f t="shared" si="27"/>
        <v>4.3</v>
      </c>
      <c r="O27" s="155">
        <f t="shared" si="25"/>
        <v>15.48</v>
      </c>
      <c r="P27" s="156">
        <f t="shared" si="28"/>
        <v>1.8695652173913044</v>
      </c>
      <c r="Q27" s="157">
        <f t="shared" ca="1" si="3"/>
        <v>2.1</v>
      </c>
      <c r="R27" s="129">
        <f t="shared" ca="1" si="41"/>
        <v>2.3000000000000003</v>
      </c>
      <c r="S27" s="158">
        <f t="shared" ca="1" si="42"/>
        <v>2.3000000000000003</v>
      </c>
      <c r="T27" s="159">
        <f t="shared" ca="1" si="6"/>
        <v>3</v>
      </c>
      <c r="U27" s="185">
        <v>3.1</v>
      </c>
      <c r="V27" s="181">
        <v>3.17</v>
      </c>
      <c r="W27" s="162"/>
      <c r="X27" s="162"/>
      <c r="Y27" s="163">
        <f>IF(COUNTA(U27:X27)&gt;1,IF($Y$3="Moy.",ROUND(AVERAGE(SMALL(U27:X27,{1;2})),1),ROUND(MIN(U27:X27),1)),IF(COUNTA(U27:X27)=1,ROUND(MIN(U27:X27),1),""))</f>
        <v>3.1</v>
      </c>
      <c r="Z27" s="164">
        <f t="shared" si="29"/>
        <v>4.8</v>
      </c>
      <c r="AA27" s="155">
        <f t="shared" si="30"/>
        <v>17.28</v>
      </c>
      <c r="AB27" s="156">
        <f t="shared" si="7"/>
        <v>0.62499999999999978</v>
      </c>
      <c r="AC27" s="165">
        <f t="shared" ca="1" si="8"/>
        <v>3</v>
      </c>
      <c r="AD27" s="136">
        <f t="shared" ca="1" si="9"/>
        <v>3.2</v>
      </c>
      <c r="AE27" s="166">
        <f t="shared" ca="1" si="10"/>
        <v>3.2</v>
      </c>
      <c r="AF27" s="149">
        <f t="shared" ca="1" si="11"/>
        <v>3</v>
      </c>
      <c r="AG27" s="180">
        <v>5.34</v>
      </c>
      <c r="AH27" s="181">
        <v>5.29</v>
      </c>
      <c r="AI27" s="162"/>
      <c r="AJ27" s="162"/>
      <c r="AK27" s="163">
        <f>IF(COUNTA(AG27:AJ27)&gt;1,IF($AK$3="Moy.",ROUND(AVERAGE(SMALL(AG27:AJ27,{1;2})),1),ROUND(MIN(AG27:AJ27),1)),IF(COUNTA(AG27:AJ27)=1,ROUND(MIN(AG27:AJ27),1),""))</f>
        <v>5.3</v>
      </c>
      <c r="AL27" s="164">
        <f t="shared" si="31"/>
        <v>5.7</v>
      </c>
      <c r="AM27" s="155">
        <f t="shared" si="32"/>
        <v>20.52</v>
      </c>
      <c r="AN27" s="156">
        <f t="shared" si="33"/>
        <v>0.40909090909090928</v>
      </c>
      <c r="AO27" s="169">
        <f t="shared" si="12"/>
        <v>0.1875</v>
      </c>
      <c r="AP27" s="165">
        <f t="shared" ca="1" si="13"/>
        <v>5.299999999999998</v>
      </c>
      <c r="AQ27" s="136">
        <f t="shared" ca="1" si="14"/>
        <v>5.3999999999999977</v>
      </c>
      <c r="AR27" s="136">
        <f t="shared" ca="1" si="15"/>
        <v>5.299999999999998</v>
      </c>
      <c r="AS27" s="149">
        <f t="shared" ca="1" si="16"/>
        <v>3.5</v>
      </c>
      <c r="AT27" s="170">
        <v>6.74</v>
      </c>
      <c r="AU27" s="182">
        <v>6.7</v>
      </c>
      <c r="AV27" s="171"/>
      <c r="AW27" s="171"/>
      <c r="AX27" s="163">
        <f>IF(COUNTA(AT27:AW27)&gt;1,IF($AX$3="Moy.",ROUND(AVERAGE(SMALL(AT27:AW27,{1;2})),1),ROUND(MIN(AT27:AW27),1)),IF(COUNTA(AT27:AW27)=1,ROUND(MIN(AT27:AW27),1),""))</f>
        <v>6.7</v>
      </c>
      <c r="AY27" s="164">
        <f t="shared" si="34"/>
        <v>6</v>
      </c>
      <c r="AZ27" s="155">
        <f t="shared" si="35"/>
        <v>21.6</v>
      </c>
      <c r="BA27" s="156">
        <f t="shared" si="36"/>
        <v>0.21428571428571411</v>
      </c>
      <c r="BB27" s="169">
        <f t="shared" si="17"/>
        <v>5.2631578947368585E-2</v>
      </c>
      <c r="BC27" s="165">
        <f t="shared" ca="1" si="18"/>
        <v>6.5000000000000009</v>
      </c>
      <c r="BD27" s="136">
        <f t="shared" ca="1" si="19"/>
        <v>6.7000000000000011</v>
      </c>
      <c r="BE27" s="136">
        <f t="shared" ca="1" si="20"/>
        <v>6.7000000000000011</v>
      </c>
      <c r="BF27" s="149">
        <f t="shared" ca="1" si="21"/>
        <v>3.75</v>
      </c>
      <c r="BG27" s="172">
        <f t="shared" si="22"/>
        <v>3.6</v>
      </c>
      <c r="BH27" s="164">
        <f t="shared" si="37"/>
        <v>6.9</v>
      </c>
      <c r="BI27" s="173">
        <f t="shared" si="39"/>
        <v>24.84</v>
      </c>
      <c r="BJ27" s="174">
        <f t="shared" si="23"/>
        <v>6</v>
      </c>
      <c r="BK27" s="164">
        <f t="shared" si="38"/>
        <v>5.8</v>
      </c>
      <c r="BL27" s="173">
        <f t="shared" si="40"/>
        <v>20.88</v>
      </c>
    </row>
    <row r="28" spans="2:64" ht="24" customHeight="1">
      <c r="B28" s="117" t="str">
        <f>IF(Liste!B27&lt;&gt;"",Liste!B27,"")</f>
        <v>Y</v>
      </c>
      <c r="C28" s="118" t="str">
        <f>IF(Liste!C27&lt;&gt;"",Liste!C27,"")</f>
        <v>F</v>
      </c>
      <c r="D28" s="119">
        <f t="shared" si="24"/>
        <v>2</v>
      </c>
      <c r="E28" s="119">
        <f t="shared" si="0"/>
        <v>2</v>
      </c>
      <c r="F28" s="119">
        <f t="shared" si="1"/>
        <v>2</v>
      </c>
      <c r="G28" s="120">
        <f t="shared" si="2"/>
        <v>2</v>
      </c>
      <c r="H28" s="121">
        <f t="shared" ca="1" si="26"/>
        <v>16</v>
      </c>
      <c r="I28" s="122">
        <v>2.84</v>
      </c>
      <c r="J28" s="123">
        <v>2.5</v>
      </c>
      <c r="K28" s="123"/>
      <c r="L28" s="123"/>
      <c r="M28" s="124">
        <f>IF(COUNTA(I28:L28)&gt;1,IF($M$3="Moy.",ROUND(AVERAGE(SMALL(I28:L28,{1;2})),1),ROUND(MIN(I28:L28),1)),IF(COUNTA(I28:L28)=1,ROUND(MIN(I28:L28),1),""))</f>
        <v>2.5</v>
      </c>
      <c r="N28" s="125">
        <f t="shared" si="27"/>
        <v>4</v>
      </c>
      <c r="O28" s="126">
        <f t="shared" si="25"/>
        <v>14.4</v>
      </c>
      <c r="P28" s="127">
        <f t="shared" si="28"/>
        <v>1.6</v>
      </c>
      <c r="Q28" s="128">
        <f t="shared" ca="1" si="3"/>
        <v>2.4</v>
      </c>
      <c r="R28" s="129">
        <f t="shared" ca="1" si="41"/>
        <v>2.6</v>
      </c>
      <c r="S28" s="158">
        <f t="shared" ca="1" si="42"/>
        <v>2.6</v>
      </c>
      <c r="T28" s="130">
        <f t="shared" ca="1" si="6"/>
        <v>4</v>
      </c>
      <c r="U28" s="175">
        <v>3.69</v>
      </c>
      <c r="V28" s="176">
        <v>3.4</v>
      </c>
      <c r="W28" s="176"/>
      <c r="X28" s="176"/>
      <c r="Y28" s="133">
        <f>IF(COUNTA(U28:X28)&gt;1,IF($Y$3="Moy.",ROUND(AVERAGE(SMALL(U28:X28,{1;2})),1),ROUND(MIN(U28:X28),1)),IF(COUNTA(U28:X28)=1,ROUND(MIN(U28:X28),1),""))</f>
        <v>3.4</v>
      </c>
      <c r="Z28" s="134">
        <f t="shared" si="29"/>
        <v>4.4000000000000004</v>
      </c>
      <c r="AA28" s="126">
        <f t="shared" si="30"/>
        <v>15.840000000000002</v>
      </c>
      <c r="AB28" s="127">
        <f t="shared" si="7"/>
        <v>0.44444444444444486</v>
      </c>
      <c r="AC28" s="135">
        <f t="shared" ca="1" si="8"/>
        <v>3.2</v>
      </c>
      <c r="AD28" s="136">
        <f t="shared" ca="1" si="9"/>
        <v>3.4000000000000004</v>
      </c>
      <c r="AE28" s="137">
        <f t="shared" ca="1" si="10"/>
        <v>3.4000000000000004</v>
      </c>
      <c r="AF28" s="121">
        <f t="shared" ca="1" si="11"/>
        <v>4</v>
      </c>
      <c r="AG28" s="177">
        <v>6.24</v>
      </c>
      <c r="AH28" s="184">
        <v>5.89</v>
      </c>
      <c r="AI28" s="176"/>
      <c r="AJ28" s="176"/>
      <c r="AK28" s="133">
        <f>IF(COUNTA(AG28:AJ28)&gt;1,IF($AK$3="Moy.",ROUND(AVERAGE(SMALL(AG28:AJ28,{1;2})),1),ROUND(MIN(AG28:AJ28),1)),IF(COUNTA(AG28:AJ28)=1,ROUND(MIN(AG28:AJ28),1),""))</f>
        <v>5.9</v>
      </c>
      <c r="AL28" s="134">
        <f t="shared" si="31"/>
        <v>5.0999999999999996</v>
      </c>
      <c r="AM28" s="126">
        <f t="shared" si="32"/>
        <v>18.36</v>
      </c>
      <c r="AN28" s="127">
        <f t="shared" si="33"/>
        <v>0.27999999999999969</v>
      </c>
      <c r="AO28" s="140">
        <f t="shared" si="12"/>
        <v>0.15909090909090895</v>
      </c>
      <c r="AP28" s="135">
        <f t="shared" ca="1" si="13"/>
        <v>5.8999999999999995</v>
      </c>
      <c r="AQ28" s="136">
        <f t="shared" ca="1" si="14"/>
        <v>5.9999999999999991</v>
      </c>
      <c r="AR28" s="141">
        <f t="shared" ca="1" si="15"/>
        <v>5.8999999999999995</v>
      </c>
      <c r="AS28" s="121">
        <f t="shared" ca="1" si="16"/>
        <v>4.25</v>
      </c>
      <c r="AT28" s="178">
        <v>7.99</v>
      </c>
      <c r="AU28" s="179">
        <v>7.63</v>
      </c>
      <c r="AV28" s="179"/>
      <c r="AW28" s="179"/>
      <c r="AX28" s="133">
        <f>IF(COUNTA(AT28:AW28)&gt;1,IF($AX$3="Moy.",ROUND(AVERAGE(SMALL(AT28:AW28,{1;2})),1),ROUND(MIN(AT28:AW28),1)),IF(COUNTA(AT28:AW28)=1,ROUND(MIN(AT28:AW28),1),""))</f>
        <v>7.6</v>
      </c>
      <c r="AY28" s="134">
        <f t="shared" si="34"/>
        <v>5.3</v>
      </c>
      <c r="AZ28" s="126">
        <f t="shared" si="35"/>
        <v>19.079999999999998</v>
      </c>
      <c r="BA28" s="127">
        <f t="shared" si="36"/>
        <v>0.11764705882352956</v>
      </c>
      <c r="BB28" s="140">
        <f t="shared" si="17"/>
        <v>3.9215686274509665E-2</v>
      </c>
      <c r="BC28" s="135">
        <f t="shared" ca="1" si="18"/>
        <v>7.4</v>
      </c>
      <c r="BD28" s="136">
        <f t="shared" ca="1" si="19"/>
        <v>7.6000000000000005</v>
      </c>
      <c r="BE28" s="141">
        <f t="shared" ca="1" si="20"/>
        <v>7.6000000000000005</v>
      </c>
      <c r="BF28" s="121">
        <f t="shared" ca="1" si="21"/>
        <v>3.75</v>
      </c>
      <c r="BG28" s="144">
        <f t="shared" si="22"/>
        <v>4.1999999999999993</v>
      </c>
      <c r="BH28" s="134">
        <f t="shared" si="37"/>
        <v>6</v>
      </c>
      <c r="BI28" s="145">
        <f t="shared" si="39"/>
        <v>21.6</v>
      </c>
      <c r="BJ28" s="146">
        <f t="shared" si="23"/>
        <v>6.75</v>
      </c>
      <c r="BK28" s="134">
        <f t="shared" si="38"/>
        <v>5.2</v>
      </c>
      <c r="BL28" s="145">
        <f t="shared" si="40"/>
        <v>18.72</v>
      </c>
    </row>
    <row r="29" spans="2:64" ht="24" customHeight="1">
      <c r="B29" s="147" t="str">
        <f>IF(Liste!B28&lt;&gt;"",Liste!B28,"")</f>
        <v>Z</v>
      </c>
      <c r="C29" s="148" t="str">
        <f>IF(Liste!C28&lt;&gt;"",Liste!C28,"")</f>
        <v>F</v>
      </c>
      <c r="D29" s="119">
        <f t="shared" si="24"/>
        <v>0</v>
      </c>
      <c r="E29" s="119">
        <f t="shared" si="0"/>
        <v>0</v>
      </c>
      <c r="F29" s="119">
        <f t="shared" si="1"/>
        <v>0</v>
      </c>
      <c r="G29" s="120">
        <f t="shared" si="2"/>
        <v>0</v>
      </c>
      <c r="H29" s="149" t="str">
        <f t="shared" si="26"/>
        <v/>
      </c>
      <c r="I29" s="150"/>
      <c r="J29" s="151"/>
      <c r="K29" s="152"/>
      <c r="L29" s="152"/>
      <c r="M29" s="153" t="str">
        <f>IF(COUNTA(I29:L29)&gt;1,IF($M$3="Moy.",ROUND(AVERAGE(SMALL(I29:L29,{1;2})),1),ROUND(MIN(I29:L29),1)),IF(COUNTA(I29:L29)=1,ROUND(MIN(I29:L29),1),""))</f>
        <v/>
      </c>
      <c r="N29" s="154" t="str">
        <f t="shared" si="27"/>
        <v/>
      </c>
      <c r="O29" s="155" t="str">
        <f t="shared" si="25"/>
        <v/>
      </c>
      <c r="P29" s="156" t="str">
        <f t="shared" si="28"/>
        <v/>
      </c>
      <c r="Q29" s="157" t="str">
        <f t="shared" ca="1" si="3"/>
        <v/>
      </c>
      <c r="R29" s="129" t="str">
        <f t="shared" ca="1" si="41"/>
        <v/>
      </c>
      <c r="S29" s="158" t="str">
        <f t="shared" ca="1" si="42"/>
        <v/>
      </c>
      <c r="T29" s="159" t="str">
        <f t="shared" si="6"/>
        <v/>
      </c>
      <c r="U29" s="160"/>
      <c r="V29" s="161"/>
      <c r="W29" s="162"/>
      <c r="X29" s="162"/>
      <c r="Y29" s="163" t="str">
        <f>IF(COUNTA(U29:X29)&gt;1,IF($Y$3="Moy.",ROUND(AVERAGE(SMALL(U29:X29,{1;2})),1),ROUND(MIN(U29:X29),1)),IF(COUNTA(U29:X29)=1,ROUND(MIN(U29:X29),1),""))</f>
        <v/>
      </c>
      <c r="Z29" s="164" t="str">
        <f t="shared" si="29"/>
        <v/>
      </c>
      <c r="AA29" s="155" t="str">
        <f t="shared" si="30"/>
        <v/>
      </c>
      <c r="AB29" s="156" t="str">
        <f t="shared" si="7"/>
        <v/>
      </c>
      <c r="AC29" s="165" t="str">
        <f t="shared" ca="1" si="8"/>
        <v/>
      </c>
      <c r="AD29" s="136" t="str">
        <f t="shared" ca="1" si="9"/>
        <v/>
      </c>
      <c r="AE29" s="166" t="str">
        <f t="shared" ca="1" si="10"/>
        <v/>
      </c>
      <c r="AF29" s="149" t="str">
        <f t="shared" si="11"/>
        <v/>
      </c>
      <c r="AG29" s="180"/>
      <c r="AH29" s="161"/>
      <c r="AI29" s="162"/>
      <c r="AJ29" s="162"/>
      <c r="AK29" s="163" t="str">
        <f>IF(COUNTA(AG29:AJ29)&gt;1,IF($AK$3="Moy.",ROUND(AVERAGE(SMALL(AG29:AJ29,{1;2})),1),ROUND(MIN(AG29:AJ29),1)),IF(COUNTA(AG29:AJ29)=1,ROUND(MIN(AG29:AJ29),1),""))</f>
        <v/>
      </c>
      <c r="AL29" s="164" t="str">
        <f t="shared" si="31"/>
        <v/>
      </c>
      <c r="AM29" s="155" t="str">
        <f t="shared" si="32"/>
        <v/>
      </c>
      <c r="AN29" s="156" t="str">
        <f t="shared" si="33"/>
        <v/>
      </c>
      <c r="AO29" s="169" t="str">
        <f t="shared" si="12"/>
        <v/>
      </c>
      <c r="AP29" s="165" t="str">
        <f t="shared" ca="1" si="13"/>
        <v/>
      </c>
      <c r="AQ29" s="136" t="str">
        <f t="shared" ca="1" si="14"/>
        <v/>
      </c>
      <c r="AR29" s="136" t="str">
        <f t="shared" ca="1" si="15"/>
        <v/>
      </c>
      <c r="AS29" s="149" t="str">
        <f t="shared" si="16"/>
        <v/>
      </c>
      <c r="AT29" s="170"/>
      <c r="AU29" s="182"/>
      <c r="AV29" s="171"/>
      <c r="AW29" s="171"/>
      <c r="AX29" s="163" t="str">
        <f>IF(COUNTA(AT29:AW29)&gt;1,IF($AX$3="Moy.",ROUND(AVERAGE(SMALL(AT29:AW29,{1;2})),1),ROUND(MIN(AT29:AW29),1)),IF(COUNTA(AT29:AW29)=1,ROUND(MIN(AT29:AW29),1),""))</f>
        <v/>
      </c>
      <c r="AY29" s="164" t="str">
        <f t="shared" si="34"/>
        <v/>
      </c>
      <c r="AZ29" s="155" t="str">
        <f t="shared" si="35"/>
        <v/>
      </c>
      <c r="BA29" s="156" t="str">
        <f t="shared" si="36"/>
        <v/>
      </c>
      <c r="BB29" s="169" t="str">
        <f t="shared" si="17"/>
        <v/>
      </c>
      <c r="BC29" s="165" t="str">
        <f t="shared" ca="1" si="18"/>
        <v/>
      </c>
      <c r="BD29" s="136" t="str">
        <f t="shared" ca="1" si="19"/>
        <v/>
      </c>
      <c r="BE29" s="136" t="str">
        <f t="shared" ca="1" si="20"/>
        <v/>
      </c>
      <c r="BF29" s="149" t="str">
        <f t="shared" si="21"/>
        <v/>
      </c>
      <c r="BG29" s="172" t="str">
        <f t="shared" si="22"/>
        <v/>
      </c>
      <c r="BH29" s="164" t="str">
        <f t="shared" si="37"/>
        <v/>
      </c>
      <c r="BI29" s="173" t="str">
        <f t="shared" si="39"/>
        <v/>
      </c>
      <c r="BJ29" s="174" t="str">
        <f t="shared" si="23"/>
        <v/>
      </c>
      <c r="BK29" s="164" t="str">
        <f t="shared" si="38"/>
        <v/>
      </c>
      <c r="BL29" s="173" t="str">
        <f t="shared" si="40"/>
        <v/>
      </c>
    </row>
    <row r="30" spans="2:64" ht="24" customHeight="1">
      <c r="B30" s="117" t="str">
        <f>IF(Liste!B29&lt;&gt;"",Liste!B29,"")</f>
        <v/>
      </c>
      <c r="C30" s="118" t="str">
        <f>IF(Liste!C29&lt;&gt;"",Liste!C29,"")</f>
        <v/>
      </c>
      <c r="D30" s="119" t="str">
        <f t="shared" si="24"/>
        <v/>
      </c>
      <c r="E30" s="119" t="str">
        <f t="shared" si="0"/>
        <v/>
      </c>
      <c r="F30" s="119" t="str">
        <f t="shared" si="1"/>
        <v/>
      </c>
      <c r="G30" s="120" t="str">
        <f t="shared" si="2"/>
        <v/>
      </c>
      <c r="H30" s="121" t="str">
        <f t="shared" si="26"/>
        <v/>
      </c>
      <c r="I30" s="122"/>
      <c r="J30" s="123"/>
      <c r="K30" s="123"/>
      <c r="L30" s="123"/>
      <c r="M30" s="124" t="str">
        <f>IF(COUNTA(I30:L30)&gt;1,IF($M$3="Moy.",ROUND(AVERAGE(SMALL(I30:L30,{1;2})),1),ROUND(MIN(I30:L30),1)),IF(COUNTA(I30:L30)=1,ROUND(MIN(I30:L30),1),""))</f>
        <v/>
      </c>
      <c r="N30" s="125" t="str">
        <f t="shared" si="27"/>
        <v/>
      </c>
      <c r="O30" s="126" t="str">
        <f t="shared" si="25"/>
        <v/>
      </c>
      <c r="P30" s="127" t="str">
        <f t="shared" si="28"/>
        <v/>
      </c>
      <c r="Q30" s="128" t="str">
        <f t="shared" ca="1" si="3"/>
        <v/>
      </c>
      <c r="R30" s="129" t="str">
        <f t="shared" ca="1" si="41"/>
        <v/>
      </c>
      <c r="S30" s="158" t="str">
        <f t="shared" ca="1" si="42"/>
        <v/>
      </c>
      <c r="T30" s="130" t="str">
        <f t="shared" si="6"/>
        <v/>
      </c>
      <c r="U30" s="175"/>
      <c r="V30" s="176"/>
      <c r="W30" s="176"/>
      <c r="X30" s="176"/>
      <c r="Y30" s="133" t="str">
        <f>IF(COUNTA(U30:X30)&gt;1,IF($Y$3="Moy.",ROUND(AVERAGE(SMALL(U30:X30,{1;2})),1),ROUND(MIN(U30:X30),1)),IF(COUNTA(U30:X30)=1,ROUND(MIN(U30:X30),1),""))</f>
        <v/>
      </c>
      <c r="Z30" s="134" t="str">
        <f t="shared" si="29"/>
        <v/>
      </c>
      <c r="AA30" s="126" t="str">
        <f t="shared" si="30"/>
        <v/>
      </c>
      <c r="AB30" s="127" t="str">
        <f t="shared" si="7"/>
        <v/>
      </c>
      <c r="AC30" s="135" t="str">
        <f t="shared" ca="1" si="8"/>
        <v/>
      </c>
      <c r="AD30" s="136" t="str">
        <f t="shared" ca="1" si="9"/>
        <v/>
      </c>
      <c r="AE30" s="137" t="str">
        <f t="shared" ca="1" si="10"/>
        <v/>
      </c>
      <c r="AF30" s="121" t="str">
        <f t="shared" si="11"/>
        <v/>
      </c>
      <c r="AG30" s="177"/>
      <c r="AH30" s="176"/>
      <c r="AI30" s="176"/>
      <c r="AJ30" s="176"/>
      <c r="AK30" s="133" t="str">
        <f>IF(COUNTA(AG30:AJ30)&gt;1,IF($AK$3="Moy.",ROUND(AVERAGE(SMALL(AG30:AJ30,{1;2})),1),ROUND(MIN(AG30:AJ30),1)),IF(COUNTA(AG30:AJ30)=1,ROUND(MIN(AG30:AJ30),1),""))</f>
        <v/>
      </c>
      <c r="AL30" s="134" t="str">
        <f t="shared" si="31"/>
        <v/>
      </c>
      <c r="AM30" s="126" t="str">
        <f t="shared" si="32"/>
        <v/>
      </c>
      <c r="AN30" s="127" t="str">
        <f t="shared" si="33"/>
        <v/>
      </c>
      <c r="AO30" s="140" t="str">
        <f t="shared" si="12"/>
        <v/>
      </c>
      <c r="AP30" s="135" t="str">
        <f t="shared" ca="1" si="13"/>
        <v/>
      </c>
      <c r="AQ30" s="136" t="str">
        <f t="shared" ca="1" si="14"/>
        <v/>
      </c>
      <c r="AR30" s="141" t="str">
        <f t="shared" ca="1" si="15"/>
        <v/>
      </c>
      <c r="AS30" s="121" t="str">
        <f t="shared" si="16"/>
        <v/>
      </c>
      <c r="AT30" s="178"/>
      <c r="AU30" s="179"/>
      <c r="AV30" s="179"/>
      <c r="AW30" s="179"/>
      <c r="AX30" s="133" t="str">
        <f>IF(COUNTA(AT30:AW30)&gt;1,IF($AX$3="Moy.",ROUND(AVERAGE(SMALL(AT30:AW30,{1;2})),1),ROUND(MIN(AT30:AW30),1)),IF(COUNTA(AT30:AW30)=1,ROUND(MIN(AT30:AW30),1),""))</f>
        <v/>
      </c>
      <c r="AY30" s="134" t="str">
        <f t="shared" si="34"/>
        <v/>
      </c>
      <c r="AZ30" s="126" t="str">
        <f t="shared" si="35"/>
        <v/>
      </c>
      <c r="BA30" s="127" t="str">
        <f t="shared" si="36"/>
        <v/>
      </c>
      <c r="BB30" s="140" t="str">
        <f t="shared" si="17"/>
        <v/>
      </c>
      <c r="BC30" s="135" t="str">
        <f t="shared" ca="1" si="18"/>
        <v/>
      </c>
      <c r="BD30" s="136" t="str">
        <f t="shared" ca="1" si="19"/>
        <v/>
      </c>
      <c r="BE30" s="141" t="str">
        <f t="shared" ca="1" si="20"/>
        <v/>
      </c>
      <c r="BF30" s="121" t="str">
        <f t="shared" si="21"/>
        <v/>
      </c>
      <c r="BG30" s="144" t="str">
        <f t="shared" si="22"/>
        <v/>
      </c>
      <c r="BH30" s="134" t="str">
        <f t="shared" si="37"/>
        <v/>
      </c>
      <c r="BI30" s="145" t="str">
        <f t="shared" si="39"/>
        <v/>
      </c>
      <c r="BJ30" s="146" t="str">
        <f t="shared" si="23"/>
        <v/>
      </c>
      <c r="BK30" s="134" t="str">
        <f t="shared" si="38"/>
        <v/>
      </c>
      <c r="BL30" s="145" t="str">
        <f t="shared" si="40"/>
        <v/>
      </c>
    </row>
    <row r="31" spans="2:64" ht="24" customHeight="1">
      <c r="B31" s="147" t="str">
        <f>IF(Liste!B30&lt;&gt;"",Liste!B30,"")</f>
        <v/>
      </c>
      <c r="C31" s="148" t="str">
        <f>IF(Liste!C30&lt;&gt;"",Liste!C30,"")</f>
        <v/>
      </c>
      <c r="D31" s="119" t="str">
        <f t="shared" si="24"/>
        <v/>
      </c>
      <c r="E31" s="119" t="str">
        <f t="shared" si="0"/>
        <v/>
      </c>
      <c r="F31" s="119" t="str">
        <f t="shared" si="1"/>
        <v/>
      </c>
      <c r="G31" s="120" t="str">
        <f t="shared" si="2"/>
        <v/>
      </c>
      <c r="H31" s="149" t="str">
        <f t="shared" si="26"/>
        <v/>
      </c>
      <c r="I31" s="150"/>
      <c r="J31" s="151"/>
      <c r="K31" s="152"/>
      <c r="L31" s="152"/>
      <c r="M31" s="153" t="str">
        <f>IF(COUNTA(I31:L31)&gt;1,IF($M$3="Moy.",ROUND(AVERAGE(SMALL(I31:L31,{1;2})),1),ROUND(MIN(I31:L31),1)),IF(COUNTA(I31:L31)=1,ROUND(MIN(I31:L31),1),""))</f>
        <v/>
      </c>
      <c r="N31" s="154" t="str">
        <f t="shared" si="27"/>
        <v/>
      </c>
      <c r="O31" s="155" t="str">
        <f t="shared" si="25"/>
        <v/>
      </c>
      <c r="P31" s="156" t="str">
        <f t="shared" si="28"/>
        <v/>
      </c>
      <c r="Q31" s="157" t="str">
        <f t="shared" ca="1" si="3"/>
        <v/>
      </c>
      <c r="R31" s="129" t="str">
        <f t="shared" ca="1" si="41"/>
        <v/>
      </c>
      <c r="S31" s="158" t="str">
        <f t="shared" ca="1" si="42"/>
        <v/>
      </c>
      <c r="T31" s="159" t="str">
        <f t="shared" si="6"/>
        <v/>
      </c>
      <c r="U31" s="160"/>
      <c r="V31" s="161"/>
      <c r="W31" s="162"/>
      <c r="X31" s="162"/>
      <c r="Y31" s="163" t="str">
        <f>IF(COUNTA(U31:X31)&gt;1,IF($Y$3="Moy.",ROUND(AVERAGE(SMALL(U31:X31,{1;2})),1),ROUND(MIN(U31:X31),1)),IF(COUNTA(U31:X31)=1,ROUND(MIN(U31:X31),1),""))</f>
        <v/>
      </c>
      <c r="Z31" s="164" t="str">
        <f t="shared" si="29"/>
        <v/>
      </c>
      <c r="AA31" s="155" t="str">
        <f t="shared" si="30"/>
        <v/>
      </c>
      <c r="AB31" s="156" t="str">
        <f t="shared" si="7"/>
        <v/>
      </c>
      <c r="AC31" s="165" t="str">
        <f t="shared" ca="1" si="8"/>
        <v/>
      </c>
      <c r="AD31" s="136" t="str">
        <f t="shared" ca="1" si="9"/>
        <v/>
      </c>
      <c r="AE31" s="166" t="str">
        <f t="shared" ca="1" si="10"/>
        <v/>
      </c>
      <c r="AF31" s="149" t="str">
        <f t="shared" si="11"/>
        <v/>
      </c>
      <c r="AG31" s="180"/>
      <c r="AH31" s="181"/>
      <c r="AI31" s="162"/>
      <c r="AJ31" s="162"/>
      <c r="AK31" s="163" t="str">
        <f>IF(COUNTA(AG31:AJ31)&gt;1,IF($AK$3="Moy.",ROUND(AVERAGE(SMALL(AG31:AJ31,{1;2})),1),ROUND(MIN(AG31:AJ31),1)),IF(COUNTA(AG31:AJ31)=1,ROUND(MIN(AG31:AJ31),1),""))</f>
        <v/>
      </c>
      <c r="AL31" s="164" t="str">
        <f t="shared" si="31"/>
        <v/>
      </c>
      <c r="AM31" s="155" t="str">
        <f t="shared" si="32"/>
        <v/>
      </c>
      <c r="AN31" s="156" t="str">
        <f t="shared" si="33"/>
        <v/>
      </c>
      <c r="AO31" s="169" t="str">
        <f t="shared" si="12"/>
        <v/>
      </c>
      <c r="AP31" s="165" t="str">
        <f t="shared" ca="1" si="13"/>
        <v/>
      </c>
      <c r="AQ31" s="136" t="str">
        <f t="shared" ca="1" si="14"/>
        <v/>
      </c>
      <c r="AR31" s="136" t="str">
        <f t="shared" ca="1" si="15"/>
        <v/>
      </c>
      <c r="AS31" s="149" t="str">
        <f t="shared" si="16"/>
        <v/>
      </c>
      <c r="AT31" s="170"/>
      <c r="AU31" s="182"/>
      <c r="AV31" s="171"/>
      <c r="AW31" s="171"/>
      <c r="AX31" s="163" t="str">
        <f>IF(COUNTA(AT31:AW31)&gt;1,IF($AX$3="Moy.",ROUND(AVERAGE(SMALL(AT31:AW31,{1;2})),1),ROUND(MIN(AT31:AW31),1)),IF(COUNTA(AT31:AW31)=1,ROUND(MIN(AT31:AW31),1),""))</f>
        <v/>
      </c>
      <c r="AY31" s="164" t="str">
        <f t="shared" si="34"/>
        <v/>
      </c>
      <c r="AZ31" s="155" t="str">
        <f t="shared" si="35"/>
        <v/>
      </c>
      <c r="BA31" s="156" t="str">
        <f t="shared" si="36"/>
        <v/>
      </c>
      <c r="BB31" s="169" t="str">
        <f t="shared" si="17"/>
        <v/>
      </c>
      <c r="BC31" s="165" t="str">
        <f t="shared" ca="1" si="18"/>
        <v/>
      </c>
      <c r="BD31" s="136" t="str">
        <f t="shared" ca="1" si="19"/>
        <v/>
      </c>
      <c r="BE31" s="136" t="str">
        <f t="shared" ca="1" si="20"/>
        <v/>
      </c>
      <c r="BF31" s="149" t="str">
        <f t="shared" si="21"/>
        <v/>
      </c>
      <c r="BG31" s="172" t="str">
        <f t="shared" si="22"/>
        <v/>
      </c>
      <c r="BH31" s="164" t="str">
        <f t="shared" si="37"/>
        <v/>
      </c>
      <c r="BI31" s="173" t="str">
        <f t="shared" si="39"/>
        <v/>
      </c>
      <c r="BJ31" s="174" t="str">
        <f t="shared" si="23"/>
        <v/>
      </c>
      <c r="BK31" s="164" t="str">
        <f t="shared" si="38"/>
        <v/>
      </c>
      <c r="BL31" s="173" t="str">
        <f t="shared" si="40"/>
        <v/>
      </c>
    </row>
    <row r="32" spans="2:64" ht="24" customHeight="1">
      <c r="B32" s="117" t="str">
        <f>IF(Liste!B31&lt;&gt;"",Liste!B31,"")</f>
        <v/>
      </c>
      <c r="C32" s="118" t="str">
        <f>IF(Liste!C31&lt;&gt;"",Liste!C31,"")</f>
        <v/>
      </c>
      <c r="D32" s="119" t="str">
        <f t="shared" si="24"/>
        <v/>
      </c>
      <c r="E32" s="119" t="str">
        <f t="shared" si="0"/>
        <v/>
      </c>
      <c r="F32" s="119" t="str">
        <f t="shared" si="1"/>
        <v/>
      </c>
      <c r="G32" s="120" t="str">
        <f t="shared" si="2"/>
        <v/>
      </c>
      <c r="H32" s="121" t="str">
        <f t="shared" si="26"/>
        <v/>
      </c>
      <c r="I32" s="122"/>
      <c r="J32" s="123"/>
      <c r="K32" s="123"/>
      <c r="L32" s="123"/>
      <c r="M32" s="124" t="str">
        <f>IF(COUNTA(I32:L32)&gt;1,IF($M$3="Moy.",ROUND(AVERAGE(SMALL(I32:L32,{1;2})),1),ROUND(MIN(I32:L32),1)),IF(COUNTA(I32:L32)=1,ROUND(MIN(I32:L32),1),""))</f>
        <v/>
      </c>
      <c r="N32" s="125" t="str">
        <f t="shared" si="27"/>
        <v/>
      </c>
      <c r="O32" s="126" t="str">
        <f t="shared" si="25"/>
        <v/>
      </c>
      <c r="P32" s="127" t="str">
        <f t="shared" si="28"/>
        <v/>
      </c>
      <c r="Q32" s="128" t="str">
        <f t="shared" ca="1" si="3"/>
        <v/>
      </c>
      <c r="R32" s="129" t="str">
        <f t="shared" ca="1" si="41"/>
        <v/>
      </c>
      <c r="S32" s="158" t="str">
        <f t="shared" ca="1" si="42"/>
        <v/>
      </c>
      <c r="T32" s="130" t="str">
        <f t="shared" si="6"/>
        <v/>
      </c>
      <c r="U32" s="175"/>
      <c r="V32" s="176"/>
      <c r="W32" s="176"/>
      <c r="X32" s="176"/>
      <c r="Y32" s="133" t="str">
        <f>IF(COUNTA(U32:X32)&gt;1,IF($Y$3="Moy.",ROUND(AVERAGE(SMALL(U32:X32,{1;2})),1),ROUND(MIN(U32:X32),1)),IF(COUNTA(U32:X32)=1,ROUND(MIN(U32:X32),1),""))</f>
        <v/>
      </c>
      <c r="Z32" s="134" t="str">
        <f t="shared" si="29"/>
        <v/>
      </c>
      <c r="AA32" s="126" t="str">
        <f t="shared" si="30"/>
        <v/>
      </c>
      <c r="AB32" s="127" t="str">
        <f t="shared" si="7"/>
        <v/>
      </c>
      <c r="AC32" s="135" t="str">
        <f t="shared" ca="1" si="8"/>
        <v/>
      </c>
      <c r="AD32" s="136" t="str">
        <f t="shared" ca="1" si="9"/>
        <v/>
      </c>
      <c r="AE32" s="137" t="str">
        <f t="shared" ca="1" si="10"/>
        <v/>
      </c>
      <c r="AF32" s="121" t="str">
        <f t="shared" si="11"/>
        <v/>
      </c>
      <c r="AG32" s="177"/>
      <c r="AH32" s="176"/>
      <c r="AI32" s="176"/>
      <c r="AJ32" s="176"/>
      <c r="AK32" s="133" t="str">
        <f>IF(COUNTA(AG32:AJ32)&gt;1,IF($AK$3="Moy.",ROUND(AVERAGE(SMALL(AG32:AJ32,{1;2})),1),ROUND(MIN(AG32:AJ32),1)),IF(COUNTA(AG32:AJ32)=1,ROUND(MIN(AG32:AJ32),1),""))</f>
        <v/>
      </c>
      <c r="AL32" s="134" t="str">
        <f t="shared" si="31"/>
        <v/>
      </c>
      <c r="AM32" s="126" t="str">
        <f t="shared" si="32"/>
        <v/>
      </c>
      <c r="AN32" s="127" t="str">
        <f t="shared" si="33"/>
        <v/>
      </c>
      <c r="AO32" s="140" t="str">
        <f t="shared" si="12"/>
        <v/>
      </c>
      <c r="AP32" s="135" t="str">
        <f t="shared" ca="1" si="13"/>
        <v/>
      </c>
      <c r="AQ32" s="136" t="str">
        <f t="shared" ca="1" si="14"/>
        <v/>
      </c>
      <c r="AR32" s="141" t="str">
        <f t="shared" ca="1" si="15"/>
        <v/>
      </c>
      <c r="AS32" s="121" t="str">
        <f t="shared" si="16"/>
        <v/>
      </c>
      <c r="AT32" s="178"/>
      <c r="AU32" s="179"/>
      <c r="AV32" s="179"/>
      <c r="AW32" s="179"/>
      <c r="AX32" s="133" t="str">
        <f>IF(COUNTA(AT32:AW32)&gt;1,IF($AX$3="Moy.",ROUND(AVERAGE(SMALL(AT32:AW32,{1;2})),1),ROUND(MIN(AT32:AW32),1)),IF(COUNTA(AT32:AW32)=1,ROUND(MIN(AT32:AW32),1),""))</f>
        <v/>
      </c>
      <c r="AY32" s="134" t="str">
        <f t="shared" si="34"/>
        <v/>
      </c>
      <c r="AZ32" s="126" t="str">
        <f t="shared" si="35"/>
        <v/>
      </c>
      <c r="BA32" s="127" t="str">
        <f t="shared" si="36"/>
        <v/>
      </c>
      <c r="BB32" s="140" t="str">
        <f t="shared" si="17"/>
        <v/>
      </c>
      <c r="BC32" s="135" t="str">
        <f t="shared" ca="1" si="18"/>
        <v/>
      </c>
      <c r="BD32" s="136" t="str">
        <f t="shared" ca="1" si="19"/>
        <v/>
      </c>
      <c r="BE32" s="141" t="str">
        <f t="shared" ca="1" si="20"/>
        <v/>
      </c>
      <c r="BF32" s="121" t="str">
        <f t="shared" si="21"/>
        <v/>
      </c>
      <c r="BG32" s="144" t="str">
        <f t="shared" si="22"/>
        <v/>
      </c>
      <c r="BH32" s="134" t="str">
        <f t="shared" si="37"/>
        <v/>
      </c>
      <c r="BI32" s="145" t="str">
        <f t="shared" si="39"/>
        <v/>
      </c>
      <c r="BJ32" s="146" t="str">
        <f t="shared" si="23"/>
        <v/>
      </c>
      <c r="BK32" s="134" t="str">
        <f t="shared" si="38"/>
        <v/>
      </c>
      <c r="BL32" s="145" t="str">
        <f t="shared" si="40"/>
        <v/>
      </c>
    </row>
    <row r="33" spans="2:64" ht="24" customHeight="1">
      <c r="B33" s="147" t="str">
        <f>IF(Liste!B32&lt;&gt;"",Liste!B32,"")</f>
        <v/>
      </c>
      <c r="C33" s="148" t="str">
        <f>IF(Liste!C32&lt;&gt;"",Liste!C32,"")</f>
        <v/>
      </c>
      <c r="D33" s="119" t="str">
        <f t="shared" si="24"/>
        <v/>
      </c>
      <c r="E33" s="119" t="str">
        <f t="shared" si="0"/>
        <v/>
      </c>
      <c r="F33" s="119" t="str">
        <f t="shared" si="1"/>
        <v/>
      </c>
      <c r="G33" s="120" t="str">
        <f t="shared" si="2"/>
        <v/>
      </c>
      <c r="H33" s="149" t="str">
        <f t="shared" si="26"/>
        <v/>
      </c>
      <c r="I33" s="150">
        <v>2.35</v>
      </c>
      <c r="J33" s="151">
        <v>2.25</v>
      </c>
      <c r="K33" s="152"/>
      <c r="L33" s="152"/>
      <c r="M33" s="153">
        <f>IF(COUNTA(I33:L33)&gt;1,IF($M$3="Moy.",ROUND(AVERAGE(SMALL(I33:L33,{1;2})),1),ROUND(MIN(I33:L33),1)),IF(COUNTA(I33:L33)=1,ROUND(MIN(I33:L33),1),""))</f>
        <v>2.2999999999999998</v>
      </c>
      <c r="N33" s="154">
        <f t="shared" si="27"/>
        <v>4.3</v>
      </c>
      <c r="O33" s="155">
        <f t="shared" si="25"/>
        <v>15.48</v>
      </c>
      <c r="P33" s="156">
        <f t="shared" si="28"/>
        <v>1.8695652173913044</v>
      </c>
      <c r="Q33" s="157" t="e">
        <f t="shared" ca="1" si="3"/>
        <v>#REF!</v>
      </c>
      <c r="R33" s="129" t="str">
        <f t="shared" ca="1" si="41"/>
        <v/>
      </c>
      <c r="S33" s="158" t="e">
        <f t="shared" ca="1" si="42"/>
        <v>#REF!</v>
      </c>
      <c r="T33" s="159" t="e">
        <f t="shared" ca="1" si="6"/>
        <v>#REF!</v>
      </c>
      <c r="U33" s="160">
        <v>3.09</v>
      </c>
      <c r="V33" s="181">
        <v>3.03</v>
      </c>
      <c r="W33" s="162"/>
      <c r="X33" s="162"/>
      <c r="Y33" s="163">
        <f>IF(COUNTA(U33:X33)&gt;1,IF($Y$3="Moy.",ROUND(AVERAGE(SMALL(U33:X33,{1;2})),1),ROUND(MIN(U33:X33),1)),IF(COUNTA(U33:X33)=1,ROUND(MIN(U33:X33),1),""))</f>
        <v>3</v>
      </c>
      <c r="Z33" s="164">
        <f t="shared" si="29"/>
        <v>5</v>
      </c>
      <c r="AA33" s="155">
        <f t="shared" si="30"/>
        <v>18</v>
      </c>
      <c r="AB33" s="156">
        <f t="shared" si="7"/>
        <v>1</v>
      </c>
      <c r="AC33" s="165" t="e">
        <f t="shared" ca="1" si="8"/>
        <v>#REF!</v>
      </c>
      <c r="AD33" s="136" t="str">
        <f t="shared" ca="1" si="9"/>
        <v/>
      </c>
      <c r="AE33" s="166" t="e">
        <f t="shared" ca="1" si="10"/>
        <v>#REF!</v>
      </c>
      <c r="AF33" s="149" t="e">
        <f t="shared" ca="1" si="11"/>
        <v>#REF!</v>
      </c>
      <c r="AG33" s="180">
        <v>5.2</v>
      </c>
      <c r="AH33" s="181">
        <v>5.15</v>
      </c>
      <c r="AI33" s="162"/>
      <c r="AJ33" s="162"/>
      <c r="AK33" s="163">
        <f>IF(COUNTA(AG33:AJ33)&gt;1,IF($AK$3="Moy.",ROUND(AVERAGE(SMALL(AG33:AJ33,{1;2})),1),ROUND(MIN(AG33:AJ33),1)),IF(COUNTA(AG33:AJ33)=1,ROUND(MIN(AG33:AJ33),1),""))</f>
        <v>5.2</v>
      </c>
      <c r="AL33" s="164">
        <f t="shared" si="31"/>
        <v>5.8</v>
      </c>
      <c r="AM33" s="155">
        <f t="shared" si="32"/>
        <v>20.88</v>
      </c>
      <c r="AN33" s="156">
        <f t="shared" si="33"/>
        <v>0.36363636363636354</v>
      </c>
      <c r="AO33" s="169">
        <f t="shared" si="12"/>
        <v>0.15999999999999992</v>
      </c>
      <c r="AP33" s="165" t="e">
        <f t="shared" ca="1" si="13"/>
        <v>#REF!</v>
      </c>
      <c r="AQ33" s="136" t="str">
        <f t="shared" ca="1" si="14"/>
        <v/>
      </c>
      <c r="AR33" s="136" t="e">
        <f t="shared" ca="1" si="15"/>
        <v>#REF!</v>
      </c>
      <c r="AS33" s="149" t="e">
        <f t="shared" ca="1" si="16"/>
        <v>#REF!</v>
      </c>
      <c r="AT33" s="170">
        <v>6.54</v>
      </c>
      <c r="AU33" s="182">
        <v>6.58</v>
      </c>
      <c r="AV33" s="599"/>
      <c r="AW33" s="599"/>
      <c r="AX33" s="163">
        <f>IF(COUNTA(AT33:AW33)&gt;1,IF($AX$3="Moy.",ROUND(AVERAGE(SMALL(AT33:AW33,{1;2})),1),ROUND(MIN(AT33:AW33),1)),IF(COUNTA(AT33:AW33)=1,ROUND(MIN(AT33:AW33),1),""))</f>
        <v>6.5</v>
      </c>
      <c r="AY33" s="164">
        <f t="shared" si="34"/>
        <v>6.2</v>
      </c>
      <c r="AZ33" s="155">
        <f t="shared" si="35"/>
        <v>22.32</v>
      </c>
      <c r="BA33" s="156">
        <f t="shared" si="36"/>
        <v>0.30769230769230799</v>
      </c>
      <c r="BB33" s="169">
        <f t="shared" si="17"/>
        <v>6.8965517241379448E-2</v>
      </c>
      <c r="BC33" s="165" t="e">
        <f t="shared" ca="1" si="18"/>
        <v>#REF!</v>
      </c>
      <c r="BD33" s="136" t="str">
        <f t="shared" ca="1" si="19"/>
        <v/>
      </c>
      <c r="BE33" s="136" t="e">
        <f t="shared" ca="1" si="20"/>
        <v>#REF!</v>
      </c>
      <c r="BF33" s="149" t="e">
        <f t="shared" ca="1" si="21"/>
        <v>#REF!</v>
      </c>
      <c r="BG33" s="172">
        <f t="shared" si="22"/>
        <v>3.5</v>
      </c>
      <c r="BH33" s="164">
        <f t="shared" si="37"/>
        <v>7.1</v>
      </c>
      <c r="BI33" s="173">
        <f t="shared" si="39"/>
        <v>25.56</v>
      </c>
      <c r="BJ33" s="174">
        <f t="shared" si="23"/>
        <v>5.85</v>
      </c>
      <c r="BK33" s="164">
        <f t="shared" si="38"/>
        <v>6</v>
      </c>
      <c r="BL33" s="173">
        <f t="shared" si="40"/>
        <v>21.6</v>
      </c>
    </row>
    <row r="34" spans="2:64" ht="24" customHeight="1">
      <c r="B34" s="117" t="str">
        <f>IF(Liste!B33&lt;&gt;"",Liste!B33,"")</f>
        <v/>
      </c>
      <c r="C34" s="118" t="str">
        <f>IF(Liste!C33&lt;&gt;"",Liste!C33,"")</f>
        <v/>
      </c>
      <c r="D34" s="119" t="str">
        <f t="shared" si="24"/>
        <v/>
      </c>
      <c r="E34" s="119" t="str">
        <f t="shared" si="0"/>
        <v/>
      </c>
      <c r="F34" s="119" t="str">
        <f t="shared" si="1"/>
        <v/>
      </c>
      <c r="G34" s="120" t="str">
        <f t="shared" si="2"/>
        <v/>
      </c>
      <c r="H34" s="121" t="str">
        <f t="shared" si="26"/>
        <v/>
      </c>
      <c r="I34" s="122">
        <v>2.5299999999999998</v>
      </c>
      <c r="J34" s="123"/>
      <c r="K34" s="123"/>
      <c r="L34" s="123"/>
      <c r="M34" s="124">
        <f>IF(COUNTA(I34:L34)&gt;1,IF($M$3="Moy.",ROUND(AVERAGE(SMALL(I34:L34,{1;2})),1),ROUND(MIN(I34:L34),1)),IF(COUNTA(I34:L34)=1,ROUND(MIN(I34:L34),1),""))</f>
        <v>2.5</v>
      </c>
      <c r="N34" s="125">
        <f t="shared" si="27"/>
        <v>4</v>
      </c>
      <c r="O34" s="126">
        <f t="shared" si="25"/>
        <v>14.4</v>
      </c>
      <c r="P34" s="127">
        <f t="shared" si="28"/>
        <v>1.6</v>
      </c>
      <c r="Q34" s="128" t="e">
        <f t="shared" ca="1" si="3"/>
        <v>#REF!</v>
      </c>
      <c r="R34" s="129" t="str">
        <f t="shared" ca="1" si="41"/>
        <v/>
      </c>
      <c r="S34" s="158" t="e">
        <f t="shared" ca="1" si="42"/>
        <v>#REF!</v>
      </c>
      <c r="T34" s="130" t="e">
        <f t="shared" ca="1" si="6"/>
        <v>#REF!</v>
      </c>
      <c r="U34" s="183">
        <v>3.5</v>
      </c>
      <c r="V34" s="176"/>
      <c r="W34" s="176"/>
      <c r="X34" s="176"/>
      <c r="Y34" s="133">
        <f>IF(COUNTA(U34:X34)&gt;1,IF($Y$3="Moy.",ROUND(AVERAGE(SMALL(U34:X34,{1;2})),1),ROUND(MIN(U34:X34),1)),IF(COUNTA(U34:X34)=1,ROUND(MIN(U34:X34),1),""))</f>
        <v>3.5</v>
      </c>
      <c r="Z34" s="134">
        <f t="shared" si="29"/>
        <v>4.3</v>
      </c>
      <c r="AA34" s="126">
        <f t="shared" si="30"/>
        <v>15.48</v>
      </c>
      <c r="AB34" s="127">
        <f t="shared" si="7"/>
        <v>0.29999999999999982</v>
      </c>
      <c r="AC34" s="135" t="e">
        <f t="shared" ca="1" si="8"/>
        <v>#REF!</v>
      </c>
      <c r="AD34" s="136" t="str">
        <f t="shared" ca="1" si="9"/>
        <v/>
      </c>
      <c r="AE34" s="137" t="e">
        <f t="shared" ca="1" si="10"/>
        <v>#REF!</v>
      </c>
      <c r="AF34" s="121" t="e">
        <f t="shared" ca="1" si="11"/>
        <v>#REF!</v>
      </c>
      <c r="AG34" s="177">
        <v>6.24</v>
      </c>
      <c r="AH34" s="176"/>
      <c r="AI34" s="176"/>
      <c r="AJ34" s="176"/>
      <c r="AK34" s="133">
        <f>IF(COUNTA(AG34:AJ34)&gt;1,IF($AK$3="Moy.",ROUND(AVERAGE(SMALL(AG34:AJ34,{1;2})),1),ROUND(MIN(AG34:AJ34),1)),IF(COUNTA(AG34:AJ34)=1,ROUND(MIN(AG34:AJ34),1),""))</f>
        <v>6.2</v>
      </c>
      <c r="AL34" s="134">
        <f t="shared" si="31"/>
        <v>4.8</v>
      </c>
      <c r="AM34" s="126">
        <f t="shared" si="32"/>
        <v>17.28</v>
      </c>
      <c r="AN34" s="127">
        <f t="shared" si="33"/>
        <v>0.18518518518518517</v>
      </c>
      <c r="AO34" s="140">
        <f t="shared" si="12"/>
        <v>0.11627906976744184</v>
      </c>
      <c r="AP34" s="135" t="e">
        <f t="shared" ca="1" si="13"/>
        <v>#REF!</v>
      </c>
      <c r="AQ34" s="136" t="str">
        <f t="shared" ca="1" si="14"/>
        <v/>
      </c>
      <c r="AR34" s="141" t="e">
        <f t="shared" ca="1" si="15"/>
        <v>#REF!</v>
      </c>
      <c r="AS34" s="121" t="e">
        <f t="shared" ca="1" si="16"/>
        <v>#REF!</v>
      </c>
      <c r="AT34" s="178">
        <v>8.08</v>
      </c>
      <c r="AU34" s="179"/>
      <c r="AV34" s="600"/>
      <c r="AW34" s="600"/>
      <c r="AX34" s="133">
        <f>IF(COUNTA(AT34:AW34)&gt;1,IF($AX$3="Moy.",ROUND(AVERAGE(SMALL(AT34:AW34,{1;2})),1),ROUND(MIN(AT34:AW34),1)),IF(COUNTA(AT34:AW34)=1,ROUND(MIN(AT34:AW34),1),""))</f>
        <v>8.1</v>
      </c>
      <c r="AY34" s="134">
        <f t="shared" si="34"/>
        <v>4.9000000000000004</v>
      </c>
      <c r="AZ34" s="126">
        <f t="shared" si="35"/>
        <v>17.64</v>
      </c>
      <c r="BA34" s="127">
        <f t="shared" si="36"/>
        <v>5.2631578947368717E-2</v>
      </c>
      <c r="BB34" s="140">
        <f t="shared" si="17"/>
        <v>2.0833333333333259E-2</v>
      </c>
      <c r="BC34" s="135" t="e">
        <f t="shared" ca="1" si="18"/>
        <v>#REF!</v>
      </c>
      <c r="BD34" s="136" t="str">
        <f t="shared" ca="1" si="19"/>
        <v/>
      </c>
      <c r="BE34" s="141" t="e">
        <f t="shared" ca="1" si="20"/>
        <v>#REF!</v>
      </c>
      <c r="BF34" s="121" t="e">
        <f t="shared" ca="1" si="21"/>
        <v>#REF!</v>
      </c>
      <c r="BG34" s="144">
        <f t="shared" si="22"/>
        <v>4.5999999999999996</v>
      </c>
      <c r="BH34" s="134">
        <f t="shared" si="37"/>
        <v>5.4</v>
      </c>
      <c r="BI34" s="145">
        <f t="shared" si="39"/>
        <v>19.440000000000001</v>
      </c>
      <c r="BJ34" s="146">
        <f t="shared" si="23"/>
        <v>7.15</v>
      </c>
      <c r="BK34" s="134">
        <f t="shared" si="38"/>
        <v>4.9000000000000004</v>
      </c>
      <c r="BL34" s="145">
        <f t="shared" si="40"/>
        <v>17.64</v>
      </c>
    </row>
    <row r="35" spans="2:64" ht="24" customHeight="1">
      <c r="B35" s="147" t="str">
        <f>IF(Liste!B34&lt;&gt;"",Liste!B34,"")</f>
        <v/>
      </c>
      <c r="C35" s="148" t="str">
        <f>IF(Liste!C34&lt;&gt;"",Liste!C34,"")</f>
        <v/>
      </c>
      <c r="D35" s="119" t="str">
        <f t="shared" si="24"/>
        <v/>
      </c>
      <c r="E35" s="119" t="str">
        <f t="shared" si="0"/>
        <v/>
      </c>
      <c r="F35" s="119" t="str">
        <f t="shared" si="1"/>
        <v/>
      </c>
      <c r="G35" s="120" t="str">
        <f t="shared" si="2"/>
        <v/>
      </c>
      <c r="H35" s="149" t="str">
        <f t="shared" si="26"/>
        <v/>
      </c>
      <c r="I35" s="150">
        <v>2.35</v>
      </c>
      <c r="J35" s="151"/>
      <c r="K35" s="152"/>
      <c r="L35" s="152"/>
      <c r="M35" s="153">
        <f>IF(COUNTA(I35:L35)&gt;1,IF($M$3="Moy.",ROUND(AVERAGE(SMALL(I35:L35,{1;2})),1),ROUND(MIN(I35:L35),1)),IF(COUNTA(I35:L35)=1,ROUND(MIN(I35:L35),1),""))</f>
        <v>2.4</v>
      </c>
      <c r="N35" s="154">
        <f t="shared" si="27"/>
        <v>4.2</v>
      </c>
      <c r="O35" s="155">
        <f t="shared" si="25"/>
        <v>15.12</v>
      </c>
      <c r="P35" s="156">
        <f t="shared" si="28"/>
        <v>1.7500000000000002</v>
      </c>
      <c r="Q35" s="157" t="e">
        <f t="shared" ca="1" si="3"/>
        <v>#REF!</v>
      </c>
      <c r="R35" s="129" t="str">
        <f t="shared" ca="1" si="41"/>
        <v/>
      </c>
      <c r="S35" s="158" t="e">
        <f t="shared" ca="1" si="42"/>
        <v>#REF!</v>
      </c>
      <c r="T35" s="159" t="e">
        <f t="shared" ca="1" si="6"/>
        <v>#REF!</v>
      </c>
      <c r="U35" s="160">
        <v>3.21</v>
      </c>
      <c r="V35" s="181"/>
      <c r="W35" s="162"/>
      <c r="X35" s="162"/>
      <c r="Y35" s="163">
        <f>IF(COUNTA(U35:X35)&gt;1,IF($Y$3="Moy.",ROUND(AVERAGE(SMALL(U35:X35,{1;2})),1),ROUND(MIN(U35:X35),1)),IF(COUNTA(U35:X35)=1,ROUND(MIN(U35:X35),1),""))</f>
        <v>3.2</v>
      </c>
      <c r="Z35" s="164">
        <f t="shared" si="29"/>
        <v>4.7</v>
      </c>
      <c r="AA35" s="155">
        <f t="shared" si="30"/>
        <v>16.920000000000002</v>
      </c>
      <c r="AB35" s="156">
        <f t="shared" si="7"/>
        <v>0.62499999999999978</v>
      </c>
      <c r="AC35" s="165" t="e">
        <f t="shared" ca="1" si="8"/>
        <v>#REF!</v>
      </c>
      <c r="AD35" s="136" t="str">
        <f t="shared" ca="1" si="9"/>
        <v/>
      </c>
      <c r="AE35" s="166" t="e">
        <f t="shared" ca="1" si="10"/>
        <v>#REF!</v>
      </c>
      <c r="AF35" s="149" t="e">
        <f t="shared" ca="1" si="11"/>
        <v>#REF!</v>
      </c>
      <c r="AG35" s="180">
        <v>5.63</v>
      </c>
      <c r="AH35" s="181"/>
      <c r="AI35" s="162"/>
      <c r="AJ35" s="162"/>
      <c r="AK35" s="163">
        <f>IF(COUNTA(AG35:AJ35)&gt;1,IF($AK$3="Moy.",ROUND(AVERAGE(SMALL(AG35:AJ35,{1;2})),1),ROUND(MIN(AG35:AJ35),1)),IF(COUNTA(AG35:AJ35)=1,ROUND(MIN(AG35:AJ35),1),""))</f>
        <v>5.6</v>
      </c>
      <c r="AL35" s="164">
        <f t="shared" si="31"/>
        <v>5.4</v>
      </c>
      <c r="AM35" s="155">
        <f t="shared" si="32"/>
        <v>19.440000000000001</v>
      </c>
      <c r="AN35" s="156">
        <f t="shared" si="33"/>
        <v>0.2916666666666668</v>
      </c>
      <c r="AO35" s="169">
        <f t="shared" si="12"/>
        <v>0.14893617021276584</v>
      </c>
      <c r="AP35" s="165" t="e">
        <f t="shared" ca="1" si="13"/>
        <v>#REF!</v>
      </c>
      <c r="AQ35" s="136" t="str">
        <f t="shared" ca="1" si="14"/>
        <v/>
      </c>
      <c r="AR35" s="136" t="e">
        <f t="shared" ca="1" si="15"/>
        <v>#REF!</v>
      </c>
      <c r="AS35" s="149" t="e">
        <f t="shared" ca="1" si="16"/>
        <v>#REF!</v>
      </c>
      <c r="AT35" s="170">
        <v>7.38</v>
      </c>
      <c r="AU35" s="182"/>
      <c r="AV35" s="171"/>
      <c r="AW35" s="171"/>
      <c r="AX35" s="163">
        <f>IF(COUNTA(AT35:AW35)&gt;1,IF($AX$3="Moy.",ROUND(AVERAGE(SMALL(AT35:AW35,{1;2})),1),ROUND(MIN(AT35:AW35),1)),IF(COUNTA(AT35:AW35)=1,ROUND(MIN(AT35:AW35),1),""))</f>
        <v>7.4</v>
      </c>
      <c r="AY35" s="164">
        <f t="shared" si="34"/>
        <v>5.4</v>
      </c>
      <c r="AZ35" s="155">
        <f t="shared" si="35"/>
        <v>19.440000000000001</v>
      </c>
      <c r="BA35" s="156">
        <f t="shared" si="36"/>
        <v>0</v>
      </c>
      <c r="BB35" s="169">
        <f t="shared" si="17"/>
        <v>0</v>
      </c>
      <c r="BC35" s="165" t="e">
        <f t="shared" ca="1" si="18"/>
        <v>#REF!</v>
      </c>
      <c r="BD35" s="136" t="str">
        <f t="shared" ca="1" si="19"/>
        <v/>
      </c>
      <c r="BE35" s="136" t="e">
        <f t="shared" ca="1" si="20"/>
        <v>#REF!</v>
      </c>
      <c r="BF35" s="149" t="e">
        <f t="shared" ca="1" si="21"/>
        <v>#REF!</v>
      </c>
      <c r="BG35" s="172">
        <f t="shared" si="22"/>
        <v>4.2</v>
      </c>
      <c r="BH35" s="164">
        <f t="shared" si="37"/>
        <v>6</v>
      </c>
      <c r="BI35" s="173">
        <f t="shared" si="39"/>
        <v>21.6</v>
      </c>
      <c r="BJ35" s="174">
        <f t="shared" si="23"/>
        <v>6.5</v>
      </c>
      <c r="BK35" s="164">
        <f t="shared" si="38"/>
        <v>5.4</v>
      </c>
      <c r="BL35" s="173">
        <f t="shared" si="40"/>
        <v>19.440000000000001</v>
      </c>
    </row>
    <row r="36" spans="2:64" ht="24" customHeight="1">
      <c r="B36" s="117" t="str">
        <f>IF(Liste!B35&lt;&gt;"",Liste!B35,"")</f>
        <v/>
      </c>
      <c r="C36" s="118" t="str">
        <f>IF(Liste!C35&lt;&gt;"",Liste!C35,"")</f>
        <v/>
      </c>
      <c r="D36" s="119" t="str">
        <f t="shared" si="24"/>
        <v/>
      </c>
      <c r="E36" s="119" t="str">
        <f t="shared" si="0"/>
        <v/>
      </c>
      <c r="F36" s="119" t="str">
        <f t="shared" si="1"/>
        <v/>
      </c>
      <c r="G36" s="120" t="str">
        <f t="shared" si="2"/>
        <v/>
      </c>
      <c r="H36" s="121" t="str">
        <f t="shared" si="26"/>
        <v/>
      </c>
      <c r="I36" s="122"/>
      <c r="J36" s="123"/>
      <c r="K36" s="123"/>
      <c r="L36" s="123"/>
      <c r="M36" s="124" t="str">
        <f>IF(COUNTA(I36:L36)&gt;1,IF($M$3="Moy.",ROUND(AVERAGE(SMALL(I36:L36,{1;2})),1),ROUND(MIN(I36:L36),1)),IF(COUNTA(I36:L36)=1,ROUND(MIN(I36:L36),1),""))</f>
        <v/>
      </c>
      <c r="N36" s="125" t="str">
        <f t="shared" si="27"/>
        <v/>
      </c>
      <c r="O36" s="126" t="str">
        <f t="shared" si="25"/>
        <v/>
      </c>
      <c r="P36" s="127" t="str">
        <f t="shared" si="28"/>
        <v/>
      </c>
      <c r="Q36" s="128" t="str">
        <f t="shared" ca="1" si="3"/>
        <v/>
      </c>
      <c r="R36" s="129" t="str">
        <f t="shared" ca="1" si="41"/>
        <v/>
      </c>
      <c r="S36" s="158" t="str">
        <f t="shared" ca="1" si="42"/>
        <v/>
      </c>
      <c r="T36" s="130" t="str">
        <f t="shared" si="6"/>
        <v/>
      </c>
      <c r="U36" s="175"/>
      <c r="V36" s="176"/>
      <c r="W36" s="176"/>
      <c r="X36" s="176"/>
      <c r="Y36" s="133" t="str">
        <f>IF(COUNTA(U36:X36)&gt;1,IF($Y$3="Moy.",ROUND(AVERAGE(SMALL(U36:X36,{1;2})),1),ROUND(MIN(U36:X36),1)),IF(COUNTA(U36:X36)=1,ROUND(MIN(U36:X36),1),""))</f>
        <v/>
      </c>
      <c r="Z36" s="134" t="str">
        <f t="shared" si="29"/>
        <v/>
      </c>
      <c r="AA36" s="126" t="str">
        <f t="shared" si="30"/>
        <v/>
      </c>
      <c r="AB36" s="127" t="str">
        <f t="shared" si="7"/>
        <v/>
      </c>
      <c r="AC36" s="135" t="str">
        <f t="shared" ca="1" si="8"/>
        <v/>
      </c>
      <c r="AD36" s="136" t="str">
        <f t="shared" ca="1" si="9"/>
        <v/>
      </c>
      <c r="AE36" s="137" t="str">
        <f t="shared" ca="1" si="10"/>
        <v/>
      </c>
      <c r="AF36" s="121" t="str">
        <f t="shared" si="11"/>
        <v/>
      </c>
      <c r="AG36" s="177"/>
      <c r="AH36" s="176"/>
      <c r="AI36" s="176"/>
      <c r="AJ36" s="176"/>
      <c r="AK36" s="133" t="str">
        <f>IF(COUNTA(AG36:AJ36)&gt;1,IF($AK$3="Moy.",ROUND(AVERAGE(SMALL(AG36:AJ36,{1;2})),1),ROUND(MIN(AG36:AJ36),1)),IF(COUNTA(AG36:AJ36)=1,ROUND(MIN(AG36:AJ36),1),""))</f>
        <v/>
      </c>
      <c r="AL36" s="134" t="str">
        <f t="shared" si="31"/>
        <v/>
      </c>
      <c r="AM36" s="126" t="str">
        <f t="shared" si="32"/>
        <v/>
      </c>
      <c r="AN36" s="127" t="str">
        <f t="shared" si="33"/>
        <v/>
      </c>
      <c r="AO36" s="140" t="str">
        <f t="shared" si="12"/>
        <v/>
      </c>
      <c r="AP36" s="135" t="str">
        <f t="shared" ca="1" si="13"/>
        <v/>
      </c>
      <c r="AQ36" s="136" t="str">
        <f t="shared" ca="1" si="14"/>
        <v/>
      </c>
      <c r="AR36" s="141" t="str">
        <f t="shared" ca="1" si="15"/>
        <v/>
      </c>
      <c r="AS36" s="121" t="str">
        <f t="shared" si="16"/>
        <v/>
      </c>
      <c r="AT36" s="178"/>
      <c r="AU36" s="179"/>
      <c r="AV36" s="600"/>
      <c r="AW36" s="179"/>
      <c r="AX36" s="133" t="str">
        <f>IF(COUNTA(AT36:AW36)&gt;1,IF($AX$3="Moy.",ROUND(AVERAGE(SMALL(AT36:AW36,{1;2})),1),ROUND(MIN(AT36:AW36),1)),IF(COUNTA(AT36:AW36)=1,ROUND(MIN(AT36:AW36),1),""))</f>
        <v/>
      </c>
      <c r="AY36" s="134" t="str">
        <f t="shared" si="34"/>
        <v/>
      </c>
      <c r="AZ36" s="126" t="str">
        <f t="shared" si="35"/>
        <v/>
      </c>
      <c r="BA36" s="127" t="str">
        <f t="shared" si="36"/>
        <v/>
      </c>
      <c r="BB36" s="140" t="str">
        <f t="shared" si="17"/>
        <v/>
      </c>
      <c r="BC36" s="135" t="str">
        <f t="shared" ca="1" si="18"/>
        <v/>
      </c>
      <c r="BD36" s="136" t="str">
        <f t="shared" ca="1" si="19"/>
        <v/>
      </c>
      <c r="BE36" s="141" t="str">
        <f t="shared" ca="1" si="20"/>
        <v/>
      </c>
      <c r="BF36" s="121" t="str">
        <f t="shared" si="21"/>
        <v/>
      </c>
      <c r="BG36" s="144" t="str">
        <f t="shared" si="22"/>
        <v/>
      </c>
      <c r="BH36" s="134" t="str">
        <f t="shared" si="37"/>
        <v/>
      </c>
      <c r="BI36" s="145" t="str">
        <f t="shared" si="39"/>
        <v/>
      </c>
      <c r="BJ36" s="146" t="str">
        <f t="shared" si="23"/>
        <v/>
      </c>
      <c r="BK36" s="134" t="str">
        <f t="shared" si="38"/>
        <v/>
      </c>
      <c r="BL36" s="145" t="str">
        <f t="shared" si="40"/>
        <v/>
      </c>
    </row>
    <row r="37" spans="2:64" ht="24" customHeight="1">
      <c r="B37" s="147" t="str">
        <f>IF(Liste!B36&lt;&gt;"",Liste!B36,"")</f>
        <v/>
      </c>
      <c r="C37" s="148" t="str">
        <f>IF(Liste!C36&lt;&gt;"",Liste!C36,"")</f>
        <v/>
      </c>
      <c r="D37" s="119" t="str">
        <f t="shared" si="24"/>
        <v/>
      </c>
      <c r="E37" s="119" t="str">
        <f t="shared" si="0"/>
        <v/>
      </c>
      <c r="F37" s="119" t="str">
        <f t="shared" si="1"/>
        <v/>
      </c>
      <c r="G37" s="120" t="str">
        <f t="shared" si="2"/>
        <v/>
      </c>
      <c r="H37" s="149" t="str">
        <f t="shared" si="26"/>
        <v/>
      </c>
      <c r="I37" s="150"/>
      <c r="J37" s="151"/>
      <c r="K37" s="152"/>
      <c r="L37" s="152"/>
      <c r="M37" s="153" t="str">
        <f>IF(COUNTA(I37:L37)&gt;1,IF($M$3="Moy.",ROUND(AVERAGE(SMALL(I37:L37,{1;2})),1),ROUND(MIN(I37:L37),1)),IF(COUNTA(I37:L37)=1,ROUND(MIN(I37:L37),1),""))</f>
        <v/>
      </c>
      <c r="N37" s="154" t="str">
        <f t="shared" si="27"/>
        <v/>
      </c>
      <c r="O37" s="155" t="str">
        <f t="shared" si="25"/>
        <v/>
      </c>
      <c r="P37" s="156" t="str">
        <f t="shared" si="28"/>
        <v/>
      </c>
      <c r="Q37" s="157" t="str">
        <f t="shared" ca="1" si="3"/>
        <v/>
      </c>
      <c r="R37" s="129" t="str">
        <f t="shared" ca="1" si="41"/>
        <v/>
      </c>
      <c r="S37" s="158" t="str">
        <f t="shared" ca="1" si="42"/>
        <v/>
      </c>
      <c r="T37" s="159" t="str">
        <f t="shared" si="6"/>
        <v/>
      </c>
      <c r="U37" s="160"/>
      <c r="V37" s="161"/>
      <c r="W37" s="162"/>
      <c r="X37" s="162"/>
      <c r="Y37" s="163" t="str">
        <f>IF(COUNTA(U37:X37)&gt;1,IF($Y$3="Moy.",ROUND(AVERAGE(SMALL(U37:X37,{1;2})),1),ROUND(MIN(U37:X37),1)),IF(COUNTA(U37:X37)=1,ROUND(MIN(U37:X37),1),""))</f>
        <v/>
      </c>
      <c r="Z37" s="164" t="str">
        <f t="shared" si="29"/>
        <v/>
      </c>
      <c r="AA37" s="155" t="str">
        <f t="shared" si="30"/>
        <v/>
      </c>
      <c r="AB37" s="156" t="str">
        <f t="shared" si="7"/>
        <v/>
      </c>
      <c r="AC37" s="165" t="str">
        <f t="shared" ca="1" si="8"/>
        <v/>
      </c>
      <c r="AD37" s="136" t="str">
        <f t="shared" ca="1" si="9"/>
        <v/>
      </c>
      <c r="AE37" s="166" t="str">
        <f t="shared" ca="1" si="10"/>
        <v/>
      </c>
      <c r="AF37" s="149" t="str">
        <f t="shared" si="11"/>
        <v/>
      </c>
      <c r="AG37" s="180"/>
      <c r="AH37" s="181"/>
      <c r="AI37" s="162"/>
      <c r="AJ37" s="162"/>
      <c r="AK37" s="163" t="str">
        <f>IF(COUNTA(AG37:AJ37)&gt;1,IF($AK$3="Moy.",ROUND(AVERAGE(SMALL(AG37:AJ37,{1;2})),1),ROUND(MIN(AG37:AJ37),1)),IF(COUNTA(AG37:AJ37)=1,ROUND(MIN(AG37:AJ37),1),""))</f>
        <v/>
      </c>
      <c r="AL37" s="164" t="str">
        <f t="shared" si="31"/>
        <v/>
      </c>
      <c r="AM37" s="155" t="str">
        <f t="shared" si="32"/>
        <v/>
      </c>
      <c r="AN37" s="156" t="str">
        <f t="shared" si="33"/>
        <v/>
      </c>
      <c r="AO37" s="169" t="str">
        <f t="shared" si="12"/>
        <v/>
      </c>
      <c r="AP37" s="165" t="str">
        <f t="shared" ca="1" si="13"/>
        <v/>
      </c>
      <c r="AQ37" s="136" t="str">
        <f t="shared" ca="1" si="14"/>
        <v/>
      </c>
      <c r="AR37" s="136" t="str">
        <f t="shared" ca="1" si="15"/>
        <v/>
      </c>
      <c r="AS37" s="149" t="str">
        <f t="shared" si="16"/>
        <v/>
      </c>
      <c r="AT37" s="170"/>
      <c r="AU37" s="182"/>
      <c r="AV37" s="171"/>
      <c r="AW37" s="171"/>
      <c r="AX37" s="163" t="str">
        <f>IF(COUNTA(AT37:AW37)&gt;1,IF($AX$3="Moy.",ROUND(AVERAGE(SMALL(AT37:AW37,{1;2})),1),ROUND(MIN(AT37:AW37),1)),IF(COUNTA(AT37:AW37)=1,ROUND(MIN(AT37:AW37),1),""))</f>
        <v/>
      </c>
      <c r="AY37" s="164" t="str">
        <f t="shared" si="34"/>
        <v/>
      </c>
      <c r="AZ37" s="155" t="str">
        <f t="shared" si="35"/>
        <v/>
      </c>
      <c r="BA37" s="156" t="str">
        <f t="shared" si="36"/>
        <v/>
      </c>
      <c r="BB37" s="169" t="str">
        <f t="shared" si="17"/>
        <v/>
      </c>
      <c r="BC37" s="165" t="str">
        <f t="shared" ca="1" si="18"/>
        <v/>
      </c>
      <c r="BD37" s="136" t="str">
        <f t="shared" ca="1" si="19"/>
        <v/>
      </c>
      <c r="BE37" s="136" t="str">
        <f t="shared" ca="1" si="20"/>
        <v/>
      </c>
      <c r="BF37" s="149" t="str">
        <f t="shared" si="21"/>
        <v/>
      </c>
      <c r="BG37" s="172" t="str">
        <f t="shared" si="22"/>
        <v/>
      </c>
      <c r="BH37" s="164" t="str">
        <f t="shared" si="37"/>
        <v/>
      </c>
      <c r="BI37" s="173" t="str">
        <f t="shared" si="39"/>
        <v/>
      </c>
      <c r="BJ37" s="174" t="str">
        <f t="shared" si="23"/>
        <v/>
      </c>
      <c r="BK37" s="164" t="str">
        <f t="shared" si="38"/>
        <v/>
      </c>
      <c r="BL37" s="173" t="str">
        <f t="shared" si="40"/>
        <v/>
      </c>
    </row>
    <row r="38" spans="2:64" ht="24" customHeight="1">
      <c r="B38" s="117" t="str">
        <f>IF(Liste!B37&lt;&gt;"",Liste!B37,"")</f>
        <v/>
      </c>
      <c r="C38" s="118" t="str">
        <f>IF(Liste!C37&lt;&gt;"",Liste!C37,"")</f>
        <v/>
      </c>
      <c r="D38" s="119" t="str">
        <f t="shared" si="24"/>
        <v/>
      </c>
      <c r="E38" s="119" t="str">
        <f t="shared" si="0"/>
        <v/>
      </c>
      <c r="F38" s="119" t="str">
        <f t="shared" si="1"/>
        <v/>
      </c>
      <c r="G38" s="120" t="str">
        <f t="shared" si="2"/>
        <v/>
      </c>
      <c r="H38" s="121" t="str">
        <f t="shared" si="26"/>
        <v/>
      </c>
      <c r="I38" s="122"/>
      <c r="J38" s="123"/>
      <c r="K38" s="123"/>
      <c r="L38" s="123"/>
      <c r="M38" s="124" t="str">
        <f>IF(COUNTA(I38:L38)&gt;1,IF($M$3="Moy.",ROUND(AVERAGE(SMALL(I38:L38,{1;2})),1),ROUND(MIN(I38:L38),1)),IF(COUNTA(I38:L38)=1,ROUND(MIN(I38:L38),1),""))</f>
        <v/>
      </c>
      <c r="N38" s="125" t="str">
        <f t="shared" si="27"/>
        <v/>
      </c>
      <c r="O38" s="126" t="str">
        <f t="shared" si="25"/>
        <v/>
      </c>
      <c r="P38" s="127" t="str">
        <f t="shared" si="28"/>
        <v/>
      </c>
      <c r="Q38" s="128" t="str">
        <f t="shared" ca="1" si="3"/>
        <v/>
      </c>
      <c r="R38" s="129" t="str">
        <f t="shared" ca="1" si="41"/>
        <v/>
      </c>
      <c r="S38" s="158" t="str">
        <f t="shared" ca="1" si="42"/>
        <v/>
      </c>
      <c r="T38" s="130" t="str">
        <f t="shared" si="6"/>
        <v/>
      </c>
      <c r="U38" s="183"/>
      <c r="V38" s="176"/>
      <c r="W38" s="176"/>
      <c r="X38" s="176"/>
      <c r="Y38" s="133" t="str">
        <f>IF(COUNTA(U38:X38)&gt;1,IF($Y$3="Moy.",ROUND(AVERAGE(SMALL(U38:X38,{1;2})),1),ROUND(MIN(U38:X38),1)),IF(COUNTA(U38:X38)=1,ROUND(MIN(U38:X38),1),""))</f>
        <v/>
      </c>
      <c r="Z38" s="134" t="str">
        <f t="shared" si="29"/>
        <v/>
      </c>
      <c r="AA38" s="126" t="str">
        <f t="shared" si="30"/>
        <v/>
      </c>
      <c r="AB38" s="127" t="str">
        <f t="shared" si="7"/>
        <v/>
      </c>
      <c r="AC38" s="135" t="str">
        <f t="shared" ca="1" si="8"/>
        <v/>
      </c>
      <c r="AD38" s="136" t="str">
        <f t="shared" ca="1" si="9"/>
        <v/>
      </c>
      <c r="AE38" s="137" t="str">
        <f t="shared" ca="1" si="10"/>
        <v/>
      </c>
      <c r="AF38" s="121" t="str">
        <f t="shared" si="11"/>
        <v/>
      </c>
      <c r="AG38" s="177"/>
      <c r="AH38" s="176"/>
      <c r="AI38" s="176"/>
      <c r="AJ38" s="176"/>
      <c r="AK38" s="133" t="str">
        <f>IF(COUNTA(AG38:AJ38)&gt;1,IF($AK$3="Moy.",ROUND(AVERAGE(SMALL(AG38:AJ38,{1;2})),1),ROUND(MIN(AG38:AJ38),1)),IF(COUNTA(AG38:AJ38)=1,ROUND(MIN(AG38:AJ38),1),""))</f>
        <v/>
      </c>
      <c r="AL38" s="134" t="str">
        <f t="shared" si="31"/>
        <v/>
      </c>
      <c r="AM38" s="126" t="str">
        <f t="shared" si="32"/>
        <v/>
      </c>
      <c r="AN38" s="127" t="str">
        <f t="shared" si="33"/>
        <v/>
      </c>
      <c r="AO38" s="140" t="str">
        <f t="shared" si="12"/>
        <v/>
      </c>
      <c r="AP38" s="135" t="str">
        <f t="shared" ca="1" si="13"/>
        <v/>
      </c>
      <c r="AQ38" s="136" t="str">
        <f t="shared" ca="1" si="14"/>
        <v/>
      </c>
      <c r="AR38" s="141" t="str">
        <f t="shared" ca="1" si="15"/>
        <v/>
      </c>
      <c r="AS38" s="121" t="str">
        <f t="shared" si="16"/>
        <v/>
      </c>
      <c r="AT38" s="178"/>
      <c r="AU38" s="179"/>
      <c r="AV38" s="179"/>
      <c r="AW38" s="179"/>
      <c r="AX38" s="133" t="str">
        <f>IF(COUNTA(AT38:AW38)&gt;1,IF($AX$3="Moy.",ROUND(AVERAGE(SMALL(AT38:AW38,{1;2})),1),ROUND(MIN(AT38:AW38),1)),IF(COUNTA(AT38:AW38)=1,ROUND(MIN(AT38:AW38),1),""))</f>
        <v/>
      </c>
      <c r="AY38" s="134" t="str">
        <f t="shared" si="34"/>
        <v/>
      </c>
      <c r="AZ38" s="126" t="str">
        <f t="shared" si="35"/>
        <v/>
      </c>
      <c r="BA38" s="127" t="str">
        <f t="shared" si="36"/>
        <v/>
      </c>
      <c r="BB38" s="140" t="str">
        <f t="shared" si="17"/>
        <v/>
      </c>
      <c r="BC38" s="135" t="str">
        <f t="shared" ca="1" si="18"/>
        <v/>
      </c>
      <c r="BD38" s="136" t="str">
        <f t="shared" ca="1" si="19"/>
        <v/>
      </c>
      <c r="BE38" s="141" t="str">
        <f t="shared" ca="1" si="20"/>
        <v/>
      </c>
      <c r="BF38" s="121" t="str">
        <f t="shared" si="21"/>
        <v/>
      </c>
      <c r="BG38" s="144" t="str">
        <f t="shared" si="22"/>
        <v/>
      </c>
      <c r="BH38" s="134" t="str">
        <f t="shared" si="37"/>
        <v/>
      </c>
      <c r="BI38" s="145" t="str">
        <f t="shared" si="39"/>
        <v/>
      </c>
      <c r="BJ38" s="146" t="str">
        <f t="shared" si="23"/>
        <v/>
      </c>
      <c r="BK38" s="134" t="str">
        <f t="shared" si="38"/>
        <v/>
      </c>
      <c r="BL38" s="145" t="str">
        <f t="shared" si="40"/>
        <v/>
      </c>
    </row>
    <row r="39" spans="2:64" ht="23.25" customHeight="1">
      <c r="B39" s="147" t="str">
        <f>IF(Liste!B38&lt;&gt;"",Liste!B38,"")</f>
        <v/>
      </c>
      <c r="C39" s="148" t="str">
        <f>IF(Liste!C38&lt;&gt;"",Liste!C38,"")</f>
        <v/>
      </c>
      <c r="D39" s="119" t="str">
        <f t="shared" si="24"/>
        <v/>
      </c>
      <c r="E39" s="119" t="str">
        <f t="shared" si="0"/>
        <v/>
      </c>
      <c r="F39" s="119" t="str">
        <f t="shared" si="1"/>
        <v/>
      </c>
      <c r="G39" s="120" t="str">
        <f t="shared" si="2"/>
        <v/>
      </c>
      <c r="H39" s="149" t="str">
        <f t="shared" si="26"/>
        <v/>
      </c>
      <c r="I39" s="150"/>
      <c r="J39" s="151"/>
      <c r="K39" s="152"/>
      <c r="L39" s="152"/>
      <c r="M39" s="153" t="str">
        <f>IF(COUNTA(I39:L39)&gt;1,IF($M$3="Moy.",ROUND(AVERAGE(SMALL(I39:L39,{1;2})),1),ROUND(MIN(I39:L39),1)),IF(COUNTA(I39:L39)=1,ROUND(MIN(I39:L39),1),""))</f>
        <v/>
      </c>
      <c r="N39" s="154" t="str">
        <f t="shared" si="27"/>
        <v/>
      </c>
      <c r="O39" s="155" t="str">
        <f t="shared" si="25"/>
        <v/>
      </c>
      <c r="P39" s="156" t="str">
        <f t="shared" si="28"/>
        <v/>
      </c>
      <c r="Q39" s="157" t="str">
        <f t="shared" ca="1" si="3"/>
        <v/>
      </c>
      <c r="R39" s="129" t="str">
        <f t="shared" ca="1" si="41"/>
        <v/>
      </c>
      <c r="S39" s="158" t="str">
        <f t="shared" ca="1" si="42"/>
        <v/>
      </c>
      <c r="T39" s="159" t="str">
        <f t="shared" si="6"/>
        <v/>
      </c>
      <c r="U39" s="160"/>
      <c r="V39" s="181"/>
      <c r="W39" s="162"/>
      <c r="X39" s="162"/>
      <c r="Y39" s="163" t="str">
        <f>IF(COUNTA(U39:X39)&gt;1,IF($Y$3="Moy.",ROUND(AVERAGE(SMALL(U39:X39,{1;2})),1),ROUND(MIN(U39:X39),1)),IF(COUNTA(U39:X39)=1,ROUND(MIN(U39:X39),1),""))</f>
        <v/>
      </c>
      <c r="Z39" s="164" t="str">
        <f t="shared" si="29"/>
        <v/>
      </c>
      <c r="AA39" s="155" t="str">
        <f t="shared" si="30"/>
        <v/>
      </c>
      <c r="AB39" s="156" t="str">
        <f t="shared" si="7"/>
        <v/>
      </c>
      <c r="AC39" s="165" t="str">
        <f t="shared" ca="1" si="8"/>
        <v/>
      </c>
      <c r="AD39" s="136" t="str">
        <f t="shared" ca="1" si="9"/>
        <v/>
      </c>
      <c r="AE39" s="166" t="str">
        <f t="shared" ca="1" si="10"/>
        <v/>
      </c>
      <c r="AF39" s="149" t="str">
        <f t="shared" si="11"/>
        <v/>
      </c>
      <c r="AG39" s="180"/>
      <c r="AH39" s="181"/>
      <c r="AI39" s="162"/>
      <c r="AJ39" s="162"/>
      <c r="AK39" s="163" t="str">
        <f>IF(COUNTA(AG39:AJ39)&gt;1,IF($AK$3="Moy.",ROUND(AVERAGE(SMALL(AG39:AJ39,{1;2})),1),ROUND(MIN(AG39:AJ39),1)),IF(COUNTA(AG39:AJ39)=1,ROUND(MIN(AG39:AJ39),1),""))</f>
        <v/>
      </c>
      <c r="AL39" s="164" t="str">
        <f t="shared" si="31"/>
        <v/>
      </c>
      <c r="AM39" s="155" t="str">
        <f t="shared" si="32"/>
        <v/>
      </c>
      <c r="AN39" s="156" t="str">
        <f t="shared" si="33"/>
        <v/>
      </c>
      <c r="AO39" s="169" t="str">
        <f t="shared" si="12"/>
        <v/>
      </c>
      <c r="AP39" s="165" t="str">
        <f t="shared" ca="1" si="13"/>
        <v/>
      </c>
      <c r="AQ39" s="136" t="str">
        <f t="shared" ca="1" si="14"/>
        <v/>
      </c>
      <c r="AR39" s="136" t="str">
        <f t="shared" ca="1" si="15"/>
        <v/>
      </c>
      <c r="AS39" s="149" t="str">
        <f t="shared" si="16"/>
        <v/>
      </c>
      <c r="AT39" s="180"/>
      <c r="AU39" s="181"/>
      <c r="AV39" s="162"/>
      <c r="AW39" s="162"/>
      <c r="AX39" s="163" t="str">
        <f>IF(COUNTA(AT39:AW39)&gt;1,IF($AX$3="Moy.",ROUND(AVERAGE(SMALL(AT39:AW39,{1;2})),1),ROUND(MIN(AT39:AW39),1)),IF(COUNTA(AT39:AW39)=1,ROUND(MIN(AT39:AW39),1),""))</f>
        <v/>
      </c>
      <c r="AY39" s="164" t="str">
        <f t="shared" si="34"/>
        <v/>
      </c>
      <c r="AZ39" s="155" t="str">
        <f t="shared" si="35"/>
        <v/>
      </c>
      <c r="BA39" s="156" t="str">
        <f t="shared" si="36"/>
        <v/>
      </c>
      <c r="BB39" s="169" t="str">
        <f t="shared" si="17"/>
        <v/>
      </c>
      <c r="BC39" s="165" t="str">
        <f t="shared" ca="1" si="18"/>
        <v/>
      </c>
      <c r="BD39" s="136" t="str">
        <f t="shared" ca="1" si="19"/>
        <v/>
      </c>
      <c r="BE39" s="136" t="str">
        <f t="shared" ca="1" si="20"/>
        <v/>
      </c>
      <c r="BF39" s="149" t="str">
        <f t="shared" si="21"/>
        <v/>
      </c>
      <c r="BG39" s="172" t="str">
        <f t="shared" si="22"/>
        <v/>
      </c>
      <c r="BH39" s="164" t="str">
        <f t="shared" si="37"/>
        <v/>
      </c>
      <c r="BI39" s="173" t="str">
        <f t="shared" si="39"/>
        <v/>
      </c>
      <c r="BJ39" s="174" t="str">
        <f t="shared" si="23"/>
        <v/>
      </c>
      <c r="BK39" s="164" t="str">
        <f t="shared" si="38"/>
        <v/>
      </c>
      <c r="BL39" s="173" t="str">
        <f t="shared" si="40"/>
        <v/>
      </c>
    </row>
    <row r="40" spans="2:64" ht="23.25" customHeight="1" thickBot="1">
      <c r="B40" s="187" t="str">
        <f>IF(Liste!B39&lt;&gt;"",Liste!B39,"")</f>
        <v/>
      </c>
      <c r="C40" s="188" t="str">
        <f>IF(Liste!C39&lt;&gt;"",Liste!C39,"")</f>
        <v/>
      </c>
      <c r="D40" s="61" t="str">
        <f t="shared" si="24"/>
        <v/>
      </c>
      <c r="E40" s="189" t="str">
        <f t="shared" si="0"/>
        <v/>
      </c>
      <c r="F40" s="189" t="str">
        <f t="shared" si="1"/>
        <v/>
      </c>
      <c r="G40" s="189" t="str">
        <f t="shared" si="2"/>
        <v/>
      </c>
      <c r="H40" s="190" t="str">
        <f t="shared" si="26"/>
        <v/>
      </c>
      <c r="I40" s="191"/>
      <c r="J40" s="192"/>
      <c r="K40" s="192"/>
      <c r="L40" s="192"/>
      <c r="M40" s="193" t="str">
        <f>IF(COUNTA(I40:L40)&gt;1,IF($M$3="Moy.",ROUND(AVERAGE(SMALL(I40:L40,{1;2})),1),ROUND(MIN(I40:L40),1)),IF(COUNTA(I40:L40)=1,ROUND(MIN(I40:L40),1),""))</f>
        <v/>
      </c>
      <c r="N40" s="194" t="str">
        <f t="shared" si="27"/>
        <v/>
      </c>
      <c r="O40" s="195" t="str">
        <f t="shared" si="25"/>
        <v/>
      </c>
      <c r="P40" s="196" t="str">
        <f t="shared" si="28"/>
        <v/>
      </c>
      <c r="Q40" s="197" t="str">
        <f t="shared" ca="1" si="3"/>
        <v/>
      </c>
      <c r="R40" s="129" t="str">
        <f t="shared" ca="1" si="41"/>
        <v/>
      </c>
      <c r="S40" s="198" t="str">
        <f t="shared" ca="1" si="42"/>
        <v/>
      </c>
      <c r="T40" s="199" t="str">
        <f t="shared" si="6"/>
        <v/>
      </c>
      <c r="U40" s="200"/>
      <c r="V40" s="201"/>
      <c r="W40" s="201"/>
      <c r="X40" s="201"/>
      <c r="Y40" s="202" t="str">
        <f>IF(COUNTA(U40:X40)&gt;1,IF($Y$3="Moy.",ROUND(AVERAGE(SMALL(U40:X40,{1;2})),1),ROUND(MIN(U40:X40),1)),IF(COUNTA(U40:X40)=1,ROUND(MIN(U40:X40),1),""))</f>
        <v/>
      </c>
      <c r="Z40" s="203" t="str">
        <f t="shared" si="29"/>
        <v/>
      </c>
      <c r="AA40" s="195" t="str">
        <f t="shared" si="30"/>
        <v/>
      </c>
      <c r="AB40" s="196" t="str">
        <f t="shared" si="7"/>
        <v/>
      </c>
      <c r="AC40" s="204" t="str">
        <f t="shared" ca="1" si="8"/>
        <v/>
      </c>
      <c r="AD40" s="205" t="str">
        <f t="shared" ca="1" si="9"/>
        <v/>
      </c>
      <c r="AE40" s="206" t="str">
        <f t="shared" ca="1" si="10"/>
        <v/>
      </c>
      <c r="AF40" s="190" t="str">
        <f t="shared" si="11"/>
        <v/>
      </c>
      <c r="AG40" s="207"/>
      <c r="AH40" s="208"/>
      <c r="AI40" s="208"/>
      <c r="AJ40" s="208"/>
      <c r="AK40" s="202" t="str">
        <f>IF(COUNTA(AG40:AJ40)&gt;1,IF($AK$3="Moy.",ROUND(AVERAGE(SMALL(AG40:AJ40,{1;2})),1),ROUND(MIN(AG40:AJ40),1)),IF(COUNTA(AG40:AJ40)=1,ROUND(MIN(AG40:AJ40),1),""))</f>
        <v/>
      </c>
      <c r="AL40" s="203" t="str">
        <f t="shared" si="31"/>
        <v/>
      </c>
      <c r="AM40" s="195" t="str">
        <f t="shared" si="32"/>
        <v/>
      </c>
      <c r="AN40" s="196" t="str">
        <f t="shared" si="33"/>
        <v/>
      </c>
      <c r="AO40" s="209" t="str">
        <f t="shared" si="12"/>
        <v/>
      </c>
      <c r="AP40" s="204" t="str">
        <f t="shared" ca="1" si="13"/>
        <v/>
      </c>
      <c r="AQ40" s="205" t="str">
        <f t="shared" ca="1" si="14"/>
        <v/>
      </c>
      <c r="AR40" s="205" t="str">
        <f t="shared" ca="1" si="15"/>
        <v/>
      </c>
      <c r="AS40" s="190" t="str">
        <f t="shared" si="16"/>
        <v/>
      </c>
      <c r="AT40" s="207"/>
      <c r="AU40" s="208"/>
      <c r="AV40" s="208"/>
      <c r="AW40" s="208"/>
      <c r="AX40" s="202" t="str">
        <f>IF(COUNTA(AT40:AW40)&gt;1,IF($AX$3="Moy.",ROUND(AVERAGE(SMALL(AT40:AW40,{1;2})),1),ROUND(MIN(AT40:AW40),1)),IF(COUNTA(AT40:AW40)=1,ROUND(MIN(AT40:AW40),1),""))</f>
        <v/>
      </c>
      <c r="AY40" s="203" t="str">
        <f t="shared" si="34"/>
        <v/>
      </c>
      <c r="AZ40" s="195" t="str">
        <f t="shared" si="35"/>
        <v/>
      </c>
      <c r="BA40" s="196" t="str">
        <f t="shared" si="36"/>
        <v/>
      </c>
      <c r="BB40" s="209" t="str">
        <f t="shared" si="17"/>
        <v/>
      </c>
      <c r="BC40" s="204" t="str">
        <f t="shared" ca="1" si="18"/>
        <v/>
      </c>
      <c r="BD40" s="205" t="str">
        <f t="shared" ca="1" si="19"/>
        <v/>
      </c>
      <c r="BE40" s="205" t="str">
        <f t="shared" ca="1" si="20"/>
        <v/>
      </c>
      <c r="BF40" s="190" t="str">
        <f t="shared" si="21"/>
        <v/>
      </c>
      <c r="BG40" s="210" t="str">
        <f t="shared" si="22"/>
        <v/>
      </c>
      <c r="BH40" s="203" t="str">
        <f t="shared" si="37"/>
        <v/>
      </c>
      <c r="BI40" s="211" t="str">
        <f t="shared" si="39"/>
        <v/>
      </c>
      <c r="BJ40" s="212" t="str">
        <f t="shared" si="23"/>
        <v/>
      </c>
      <c r="BK40" s="203" t="str">
        <f t="shared" si="38"/>
        <v/>
      </c>
      <c r="BL40" s="211" t="str">
        <f t="shared" si="40"/>
        <v/>
      </c>
    </row>
    <row r="41" spans="2:64" ht="16.5" customHeight="1">
      <c r="B41" s="20"/>
      <c r="C41" s="20"/>
      <c r="D41" s="55"/>
      <c r="E41" s="55"/>
      <c r="F41" s="20"/>
      <c r="G41" s="213" t="s">
        <v>103</v>
      </c>
      <c r="H41" s="214">
        <f ca="1">AVERAGE(H4:H40)</f>
        <v>15.298245614035089</v>
      </c>
      <c r="I41" s="215"/>
      <c r="J41" s="216" t="s">
        <v>8</v>
      </c>
      <c r="K41" s="217">
        <f>COUNTIF($C$4:$C$40,"F")</f>
        <v>14</v>
      </c>
      <c r="L41" s="218" t="s">
        <v>103</v>
      </c>
      <c r="M41" s="219">
        <f t="shared" ref="M41:P41" si="43">AVERAGE(M4:M40)</f>
        <v>2.4</v>
      </c>
      <c r="N41" s="220">
        <f t="shared" si="43"/>
        <v>4.1818181818181817</v>
      </c>
      <c r="O41" s="220">
        <f t="shared" si="43"/>
        <v>15.054545454545455</v>
      </c>
      <c r="P41" s="214">
        <f t="shared" si="43"/>
        <v>1.7591776544345714</v>
      </c>
      <c r="Q41" s="221" t="e">
        <f ca="1">AVERAGE(Q4:Q40)</f>
        <v>#REF!</v>
      </c>
      <c r="R41" s="221">
        <f ca="1">AVERAGE(R4:R40)</f>
        <v>2.5315789473684212</v>
      </c>
      <c r="S41" s="221" t="e">
        <f ca="1">AVERAGE(S4:S40)</f>
        <v>#REF!</v>
      </c>
      <c r="T41" s="220" t="e">
        <f ca="1">AVERAGE(T4:T40)</f>
        <v>#REF!</v>
      </c>
      <c r="U41" s="20"/>
      <c r="V41" s="222" t="s">
        <v>8</v>
      </c>
      <c r="W41" s="223">
        <f>COUNTIF($C$4:$C$40,"F")</f>
        <v>14</v>
      </c>
      <c r="X41" s="224" t="s">
        <v>103</v>
      </c>
      <c r="Y41" s="225">
        <f t="shared" ref="Y41:AF41" si="44">AVERAGE(Y4:Y40)</f>
        <v>3.2227272727272736</v>
      </c>
      <c r="Z41" s="214">
        <f t="shared" si="44"/>
        <v>4.6818181818181834</v>
      </c>
      <c r="AA41" s="214">
        <f t="shared" si="44"/>
        <v>16.854545454545459</v>
      </c>
      <c r="AB41" s="214">
        <f t="shared" ref="AB41" si="45">AVERAGE(AB4:AB40)</f>
        <v>0.62570346320346348</v>
      </c>
      <c r="AC41" s="226" t="e">
        <f t="shared" ca="1" si="44"/>
        <v>#REF!</v>
      </c>
      <c r="AD41" s="226">
        <f t="shared" ca="1" si="44"/>
        <v>3.3421052631578947</v>
      </c>
      <c r="AE41" s="226" t="e">
        <f t="shared" ca="1" si="44"/>
        <v>#REF!</v>
      </c>
      <c r="AF41" s="214" t="e">
        <f t="shared" ca="1" si="44"/>
        <v>#REF!</v>
      </c>
      <c r="AG41" s="20"/>
      <c r="AH41" s="222" t="s">
        <v>8</v>
      </c>
      <c r="AI41" s="223">
        <f>COUNTIF($C$4:$C$40,"F")</f>
        <v>14</v>
      </c>
      <c r="AJ41" s="224" t="s">
        <v>103</v>
      </c>
      <c r="AK41" s="225">
        <f t="shared" ref="AK41:AS41" si="46">AVERAGE(AK4:AK40)</f>
        <v>5.5681818181818192</v>
      </c>
      <c r="AL41" s="214">
        <f t="shared" si="46"/>
        <v>5.4499999999999993</v>
      </c>
      <c r="AM41" s="214">
        <f t="shared" si="46"/>
        <v>19.62</v>
      </c>
      <c r="AN41" s="214">
        <f t="shared" ref="AN41" si="47">AVERAGE(AN4:AN40)</f>
        <v>0.33822255713143995</v>
      </c>
      <c r="AO41" s="227">
        <f t="shared" si="46"/>
        <v>0.1632164350962988</v>
      </c>
      <c r="AP41" s="226" t="e">
        <f t="shared" ca="1" si="46"/>
        <v>#REF!</v>
      </c>
      <c r="AQ41" s="226">
        <f t="shared" ca="1" si="46"/>
        <v>5.6736842105263143</v>
      </c>
      <c r="AR41" s="226" t="e">
        <f t="shared" ca="1" si="46"/>
        <v>#REF!</v>
      </c>
      <c r="AS41" s="214" t="e">
        <f t="shared" ca="1" si="46"/>
        <v>#REF!</v>
      </c>
      <c r="AT41" s="20"/>
      <c r="AU41" s="222" t="s">
        <v>8</v>
      </c>
      <c r="AV41" s="223">
        <f>COUNTIF($C$4:$C$40,"F")</f>
        <v>14</v>
      </c>
      <c r="AW41" s="224" t="s">
        <v>103</v>
      </c>
      <c r="AX41" s="225">
        <f t="shared" ref="AX41:BF41" si="48">AVERAGE(AX4:AX40)</f>
        <v>7.168181818181818</v>
      </c>
      <c r="AY41" s="214">
        <f t="shared" si="48"/>
        <v>5.6499999999999995</v>
      </c>
      <c r="AZ41" s="214">
        <f t="shared" si="48"/>
        <v>20.34</v>
      </c>
      <c r="BA41" s="214"/>
      <c r="BB41" s="228">
        <f t="shared" si="48"/>
        <v>3.5523783821001596E-2</v>
      </c>
      <c r="BC41" s="226" t="e">
        <f t="shared" ca="1" si="48"/>
        <v>#REF!</v>
      </c>
      <c r="BD41" s="226">
        <f t="shared" ca="1" si="48"/>
        <v>7.2105263157894735</v>
      </c>
      <c r="BE41" s="226" t="e">
        <f t="shared" ca="1" si="48"/>
        <v>#REF!</v>
      </c>
      <c r="BF41" s="214" t="e">
        <f t="shared" ca="1" si="48"/>
        <v>#REF!</v>
      </c>
      <c r="BG41" s="20"/>
      <c r="BH41" s="20"/>
      <c r="BI41" s="20"/>
      <c r="BJ41" s="20"/>
      <c r="BK41" s="20"/>
      <c r="BL41" s="20"/>
    </row>
    <row r="42" spans="2:64" ht="16.5" customHeight="1">
      <c r="B42" s="229" t="s">
        <v>104</v>
      </c>
      <c r="C42" s="230">
        <v>0</v>
      </c>
      <c r="D42" s="231"/>
      <c r="E42" s="231"/>
      <c r="F42" s="20"/>
      <c r="G42" s="232" t="s">
        <v>105</v>
      </c>
      <c r="H42" s="233">
        <f t="array" aca="1" ref="H42" ca="1">IF(ISERROR(AVERAGE(IF($C$4:$C$40="F",H$4:H$40))),"",AVERAGE(IF($C$4:$C$40="F",H$4:H$40)))</f>
        <v>15.933333333333334</v>
      </c>
      <c r="I42" s="215"/>
      <c r="J42" s="234" t="s">
        <v>10</v>
      </c>
      <c r="K42" s="235">
        <f>COUNTIF($C$4:$C$40,"M")</f>
        <v>12</v>
      </c>
      <c r="L42" s="236" t="s">
        <v>105</v>
      </c>
      <c r="M42" s="237">
        <f t="array" ref="M42">IF(ISERROR(AVERAGE(IF($C$4:$C$40="F",M$4:M$40))),"",AVERAGE(IF($C$4:$C$40="F",M$4:M$40)))</f>
        <v>2.5100000000000002</v>
      </c>
      <c r="N42" s="238">
        <f t="array" ref="N42">IF(ISERROR(AVERAGE(IF($C$4:$C$40="F",N$4:N$40))),"",AVERAGE(IF($C$4:$C$40="F",N$4:N$40)))</f>
        <v>3.9899999999999998</v>
      </c>
      <c r="O42" s="238">
        <f t="array" ref="O42">IF(ISERROR(AVERAGE(IF($C$4:$C$40="F",O$4:O$40))),"",AVERAGE(IF($C$4:$C$40="F",O$4:O$40)))</f>
        <v>14.364000000000001</v>
      </c>
      <c r="P42" s="233">
        <f t="array" ref="P42">IF(ISERROR(AVERAGE(IF($C$4:$C$40="F",P$4:P$40))),"",AVERAGE(IF($C$4:$C$40="F",P$4:P$40)))</f>
        <v>1.5954985754985755</v>
      </c>
      <c r="Q42" s="239">
        <f t="array" aca="1" ref="Q42" ca="1">IF(ISERROR(AVERAGE(IF($C$4:$C$40="F",Q$4:Q$40))),"",AVERAGE(IF($C$4:$C$40="F",Q$4:Q$40)))</f>
        <v>2.48</v>
      </c>
      <c r="R42" s="239">
        <f t="array" aca="1" ref="R42" ca="1">IF(ISERROR(AVERAGE(IF($C$4:$C$40="F",R$4:R$40))),"",AVERAGE(IF($C$4:$C$40="F",R$4:R$40)))</f>
        <v>2.6800000000000006</v>
      </c>
      <c r="S42" s="239">
        <f t="array" aca="1" ref="S42" ca="1">IF(ISERROR(AVERAGE(IF($C$4:$C$40="F",S$4:S$40))),"",AVERAGE(IF($C$4:$C$40="F",S$4:S$40)))</f>
        <v>2.5400000000000005</v>
      </c>
      <c r="T42" s="238">
        <f t="array" aca="1" ref="T42" ca="1">IF(ISERROR(AVERAGE(IF($C$4:$C$40="F",T$4:T$40))),"",AVERAGE(IF($C$4:$C$40="F",T$4:T$40)))</f>
        <v>4.3</v>
      </c>
      <c r="U42" s="20"/>
      <c r="V42" s="240" t="s">
        <v>10</v>
      </c>
      <c r="W42" s="241">
        <f>COUNTIF($C$4:$C$40,"M")</f>
        <v>12</v>
      </c>
      <c r="X42" s="242" t="s">
        <v>105</v>
      </c>
      <c r="Y42" s="243">
        <f t="array" ref="Y42">IF(ISERROR(AVERAGE(IF($C$4:$C$40="F",Y$4:Y$40))),"",AVERAGE(IF($C$4:$C$40="F",Y$4:Y$40)))</f>
        <v>3.38</v>
      </c>
      <c r="Z42" s="233">
        <f t="array" ref="Z42">IF(ISERROR(AVERAGE(IF($C$4:$C$40="F",Z$4:Z$40))),"",AVERAGE(IF($C$4:$C$40="F",Z$4:Z$40)))</f>
        <v>4.45</v>
      </c>
      <c r="AA42" s="233">
        <f t="array" ref="AA42">IF(ISERROR(AVERAGE(IF($C$4:$C$40="F",AA$4:AA$40))),"",AVERAGE(IF($C$4:$C$40="F",AA$4:AA$40)))</f>
        <v>16.020000000000003</v>
      </c>
      <c r="AB42" s="233">
        <f t="array" ref="AB42">IF(ISERROR(AVERAGE(IF($C$4:$C$40="F",AB$4:AB$40))),"",AVERAGE(IF($C$4:$C$40="F",AB$4:AB$40)))</f>
        <v>0.53583333333333338</v>
      </c>
      <c r="AC42" s="244">
        <f t="array" aca="1" ref="AC42" ca="1">IF(ISERROR(AVERAGE(IF($C$4:$C$40="F",AC$4:AC$40))),"",AVERAGE(IF($C$4:$C$40="F",AC$4:AC$40)))</f>
        <v>3.2600000000000002</v>
      </c>
      <c r="AD42" s="244">
        <f t="array" aca="1" ref="AD42" ca="1">IF(ISERROR(AVERAGE(IF($C$4:$C$40="F",AD$4:AD$40))),"",AVERAGE(IF($C$4:$C$40="F",AD$4:AD$40)))</f>
        <v>3.46</v>
      </c>
      <c r="AE42" s="244">
        <f t="array" aca="1" ref="AE42" ca="1">IF(ISERROR(AVERAGE(IF($C$4:$C$40="F",AE$4:AE$40))),"",AVERAGE(IF($C$4:$C$40="F",AE$4:AE$40)))</f>
        <v>3.4</v>
      </c>
      <c r="AF42" s="233">
        <f t="array" aca="1" ref="AF42" ca="1">IF(ISERROR(AVERAGE(IF($C$4:$C$40="F",AF$4:AF$40))),"",AVERAGE(IF($C$4:$C$40="F",AF$4:AF$40)))</f>
        <v>4</v>
      </c>
      <c r="AG42" s="20"/>
      <c r="AH42" s="240" t="s">
        <v>10</v>
      </c>
      <c r="AI42" s="241">
        <f>COUNTIF($C$4:$C$40,"M")</f>
        <v>12</v>
      </c>
      <c r="AJ42" s="242" t="s">
        <v>105</v>
      </c>
      <c r="AK42" s="243">
        <f t="array" ref="AK42">IF(ISERROR(AVERAGE(IF($C$4:$C$40="F",AK$4:AK$40))),"",AVERAGE(IF($C$4:$C$40="F",AK$4:AK$40)))</f>
        <v>5.85</v>
      </c>
      <c r="AL42" s="245">
        <f t="array" ref="AL42">IF(ISERROR(AVERAGE(IF($C$4:$C$40="F",AL$4:AL$40))),"",AVERAGE(IF($C$4:$C$40="F",AL$4:AL$40)))</f>
        <v>5.17</v>
      </c>
      <c r="AM42" s="233">
        <f t="array" ref="AM42">IF(ISERROR(AVERAGE(IF($C$4:$C$40="F",AM$4:AM$40))),"",AVERAGE(IF($C$4:$C$40="F",AM$4:AM$40)))</f>
        <v>18.612000000000002</v>
      </c>
      <c r="AN42" s="233">
        <f t="array" ref="AN42">IF(ISERROR(AVERAGE(IF($C$4:$C$40="F",AN$4:AN$40))),"",AVERAGE(IF($C$4:$C$40="F",AN$4:AN$40)))</f>
        <v>0.29821316686534061</v>
      </c>
      <c r="AO42" s="246">
        <f t="array" ref="AO42">IF(ISERROR(AVERAGE(IF($C$4:$C$40="F",AO$4:AO$40))),"",AVERAGE(IF($C$4:$C$40="F",AO$4:AO$40)))</f>
        <v>0.16136400764555139</v>
      </c>
      <c r="AP42" s="244">
        <f t="array" aca="1" ref="AP42" ca="1">IF(ISERROR(AVERAGE(IF($C$4:$C$40="F",AP$4:AP$40))),"",AVERAGE(IF($C$4:$C$40="F",AP$4:AP$40)))</f>
        <v>5.3699999999999983</v>
      </c>
      <c r="AQ42" s="244">
        <f t="array" aca="1" ref="AQ42" ca="1">IF(ISERROR(AVERAGE(IF($C$4:$C$40="F",AQ$4:AQ$40))),"",AVERAGE(IF($C$4:$C$40="F",AQ$4:AQ$40)))</f>
        <v>5.9899999999999993</v>
      </c>
      <c r="AR42" s="244">
        <f t="array" aca="1" ref="AR42" ca="1">IF(ISERROR(AVERAGE(IF($C$4:$C$40="F",AR$4:AR$40))),"",AVERAGE(IF($C$4:$C$40="F",AR$4:AR$40)))</f>
        <v>5.8699999999999983</v>
      </c>
      <c r="AS42" s="233">
        <f t="array" aca="1" ref="AS42" ca="1">IF(ISERROR(AVERAGE(IF($C$4:$C$40="F",AS$4:AS$40))),"",AVERAGE(IF($C$4:$C$40="F",AS$4:AS$40)))</f>
        <v>4.2</v>
      </c>
      <c r="AT42" s="20"/>
      <c r="AU42" s="240" t="s">
        <v>10</v>
      </c>
      <c r="AV42" s="241">
        <f>COUNTIF($C$4:$C$40,"M")</f>
        <v>12</v>
      </c>
      <c r="AW42" s="242" t="s">
        <v>105</v>
      </c>
      <c r="AX42" s="243">
        <f t="array" ref="AX42">IF(ISERROR(AVERAGE(IF($C$4:$C$40="F",AX$4:AX$40))),"",AVERAGE(IF($C$4:$C$40="F",AX$4:AX$40)))</f>
        <v>7.5399999999999991</v>
      </c>
      <c r="AY42" s="245">
        <f t="array" ref="AY42">IF(ISERROR(AVERAGE(IF($C$4:$C$40="F",AY$4:AY$40))),"",AVERAGE(IF($C$4:$C$40="F",AY$4:AY$40)))</f>
        <v>5.3299999999999992</v>
      </c>
      <c r="AZ42" s="233">
        <f t="array" ref="AZ42">IF(ISERROR(AVERAGE(IF($C$4:$C$40="F",AZ$4:AZ$40))),"",AVERAGE(IF($C$4:$C$40="F",AZ$4:AZ$40)))</f>
        <v>19.187999999999999</v>
      </c>
      <c r="BA42" s="233"/>
      <c r="BB42" s="247">
        <f t="array" ref="BB42">IF(ISERROR(AVERAGE(IF($C$4:$C$40="F",BB$4:BB$40))),"",AVERAGE(IF($C$4:$C$40="F",BB$4:BB$40)))</f>
        <v>3.0629248889439343E-2</v>
      </c>
      <c r="BC42" s="244">
        <f t="array" aca="1" ref="BC42" ca="1">IF(ISERROR(AVERAGE(IF($C$4:$C$40="F",BC$4:BC$40))),"",AVERAGE(IF($C$4:$C$40="F",BC$4:BC$40)))</f>
        <v>7.42</v>
      </c>
      <c r="BD42" s="244">
        <f t="array" aca="1" ref="BD42" ca="1">IF(ISERROR(AVERAGE(IF($C$4:$C$40="F",BD$4:BD$40))),"",AVERAGE(IF($C$4:$C$40="F",BD$4:BD$40)))</f>
        <v>7.6400000000000006</v>
      </c>
      <c r="BE42" s="244">
        <f t="array" aca="1" ref="BE42" ca="1">IF(ISERROR(AVERAGE(IF($C$4:$C$40="F",BE$4:BE$40))),"",AVERAGE(IF($C$4:$C$40="F",BE$4:BE$40)))</f>
        <v>7.62</v>
      </c>
      <c r="BF42" s="233">
        <f t="array" aca="1" ref="BF42" ca="1">IF(ISERROR(AVERAGE(IF($C$4:$C$40="F",BF$4:BF$40))),"",AVERAGE(IF($C$4:$C$40="F",BF$4:BF$40)))</f>
        <v>3.75</v>
      </c>
      <c r="BG42" s="20"/>
      <c r="BH42" s="20"/>
      <c r="BI42" s="20"/>
      <c r="BJ42" s="20"/>
      <c r="BK42" s="20"/>
      <c r="BL42" s="20"/>
    </row>
    <row r="43" spans="2:64" ht="16.5" customHeight="1">
      <c r="B43" s="229" t="s">
        <v>106</v>
      </c>
      <c r="C43" s="230">
        <v>1</v>
      </c>
      <c r="D43" s="231"/>
      <c r="E43" s="231"/>
      <c r="F43" s="20"/>
      <c r="G43" s="248" t="s">
        <v>107</v>
      </c>
      <c r="H43" s="249">
        <f t="array" aca="1" ref="H43" ca="1">IF(ISERROR(AVERAGE(IF($C$4:$C$40="M",H$4:H$40))),"",AVERAGE(IF($C$4:$C$40="M",H$4:H$40)))</f>
        <v>14.592592592592593</v>
      </c>
      <c r="I43" s="215"/>
      <c r="J43" s="250"/>
      <c r="K43" s="250"/>
      <c r="L43" s="251" t="s">
        <v>107</v>
      </c>
      <c r="M43" s="252">
        <f t="array" ref="M43">IF(ISERROR(AVERAGE(IF($C$4:$C$40="M",M$4:M$40))),"",AVERAGE(IF($C$4:$C$40="M",M$4:M$40)))</f>
        <v>2.2777777777777777</v>
      </c>
      <c r="N43" s="253">
        <f t="array" ref="N43">IF(ISERROR(AVERAGE(IF($C$4:$C$40="M",N$4:N$40))),"",AVERAGE(IF($C$4:$C$40="M",N$4:N$40)))</f>
        <v>4.3999999999999995</v>
      </c>
      <c r="O43" s="253">
        <f t="array" ref="O43">IF(ISERROR(AVERAGE(IF($C$4:$C$40="M",O$4:O$40))),"",AVERAGE(IF($C$4:$C$40="M",O$4:O$40)))</f>
        <v>15.84</v>
      </c>
      <c r="P43" s="249">
        <f t="array" ref="P43">IF(ISERROR(AVERAGE(IF($C$4:$C$40="M",P$4:P$40))),"",AVERAGE(IF($C$4:$C$40="M",P$4:P$40)))</f>
        <v>1.9474841583537232</v>
      </c>
      <c r="Q43" s="239">
        <f t="array" aca="1" ref="Q43" ca="1">IF(ISERROR(AVERAGE(IF($C$4:$C$40="M",Q$4:Q$40))),"",AVERAGE(IF($C$4:$C$40="M",Q$4:Q$40)))</f>
        <v>2.166666666666667</v>
      </c>
      <c r="R43" s="239">
        <f t="array" aca="1" ref="R43" ca="1">IF(ISERROR(AVERAGE(IF($C$4:$C$40="M",R$4:R$40))),"",AVERAGE(IF($C$4:$C$40="M",R$4:R$40)))</f>
        <v>2.3666666666666671</v>
      </c>
      <c r="S43" s="239">
        <f t="array" aca="1" ref="S43" ca="1">IF(ISERROR(AVERAGE(IF($C$4:$C$40="M",S$4:S$40))),"",AVERAGE(IF($C$4:$C$40="M",S$4:S$40)))</f>
        <v>2.3222222222222224</v>
      </c>
      <c r="T43" s="253">
        <f t="array" aca="1" ref="T43" ca="1">IF(ISERROR(AVERAGE(IF($C$4:$C$40="M",T$4:T$40))),"",AVERAGE(IF($C$4:$C$40="M",T$4:T$40)))</f>
        <v>2.8888888888888888</v>
      </c>
      <c r="U43" s="20"/>
      <c r="V43" s="20"/>
      <c r="W43" s="20"/>
      <c r="X43" s="254" t="s">
        <v>107</v>
      </c>
      <c r="Y43" s="255">
        <f t="array" ref="Y43">IF(ISERROR(AVERAGE(IF($C$4:$C$40="M",Y$4:Y$40))),"",AVERAGE(IF($C$4:$C$40="M",Y$4:Y$40)))</f>
        <v>3.0444444444444443</v>
      </c>
      <c r="Z43" s="249">
        <f t="array" ref="Z43">IF(ISERROR(AVERAGE(IF($C$4:$C$40="M",Z$4:Z$40))),"",AVERAGE(IF($C$4:$C$40="M",Z$4:Z$40)))</f>
        <v>4.9444444444444446</v>
      </c>
      <c r="AA43" s="249">
        <f t="array" ref="AA43">IF(ISERROR(AVERAGE(IF($C$4:$C$40="M",AA$4:AA$40))),"",AVERAGE(IF($C$4:$C$40="M",AA$4:AA$40)))</f>
        <v>17.8</v>
      </c>
      <c r="AB43" s="249">
        <f t="array" ref="AB43">IF(ISERROR(AVERAGE(IF($C$4:$C$40="M",AB$4:AB$40))),"",AVERAGE(IF($C$4:$C$40="M",AB$4:AB$40)))</f>
        <v>0.72023809523809557</v>
      </c>
      <c r="AC43" s="244">
        <f t="array" aca="1" ref="AC43" ca="1">IF(ISERROR(AVERAGE(IF($C$4:$C$40="M",AC$4:AC$40))),"",AVERAGE(IF($C$4:$C$40="M",AC$4:AC$40)))</f>
        <v>2.9777777777777779</v>
      </c>
      <c r="AD43" s="244">
        <f t="array" aca="1" ref="AD43" ca="1">IF(ISERROR(AVERAGE(IF($C$4:$C$40="M",AD$4:AD$40))),"",AVERAGE(IF($C$4:$C$40="M",AD$4:AD$40)))</f>
        <v>3.2111111111111108</v>
      </c>
      <c r="AE43" s="244">
        <f t="array" aca="1" ref="AE43" ca="1">IF(ISERROR(AVERAGE(IF($C$4:$C$40="M",AE$4:AE$40))),"",AVERAGE(IF($C$4:$C$40="M",AE$4:AE$40)))</f>
        <v>3.1333333333333333</v>
      </c>
      <c r="AF43" s="249">
        <f t="array" aca="1" ref="AF43" ca="1">IF(ISERROR(AVERAGE(IF($C$4:$C$40="M",AF$4:AF$40))),"",AVERAGE(IF($C$4:$C$40="M",AF$4:AF$40)))</f>
        <v>3.4444444444444446</v>
      </c>
      <c r="AG43" s="20"/>
      <c r="AH43" s="20"/>
      <c r="AI43" s="20"/>
      <c r="AJ43" s="254" t="s">
        <v>107</v>
      </c>
      <c r="AK43" s="255">
        <f t="array" ref="AK43">IF(ISERROR(AVERAGE(IF($C$4:$C$40="M",AK$4:AK$40))),"",AVERAGE(IF($C$4:$C$40="M",AK$4:AK$40)))</f>
        <v>5.2222222222222214</v>
      </c>
      <c r="AL43" s="245">
        <f t="array" ref="AL43">IF(ISERROR(AVERAGE(IF($C$4:$C$40="M",AL$4:AL$40))),"",AVERAGE(IF($C$4:$C$40="M",AL$4:AL$40)))</f>
        <v>5.8000000000000007</v>
      </c>
      <c r="AM43" s="249">
        <f t="array" ref="AM43">IF(ISERROR(AVERAGE(IF($C$4:$C$40="M",AM$4:AM$40))),"",AVERAGE(IF($C$4:$C$40="M",AM$4:AM$40)))</f>
        <v>20.880000000000003</v>
      </c>
      <c r="AN43" s="249">
        <f t="array" ref="AN43">IF(ISERROR(AVERAGE(IF($C$4:$C$40="M",AN$4:AN$40))),"",AVERAGE(IF($C$4:$C$40="M",AN$4:AN$40)))</f>
        <v>0.40203070808333963</v>
      </c>
      <c r="AO43" s="256">
        <f t="array" ref="AO43">IF(ISERROR(AVERAGE(IF($C$4:$C$40="M",AO$4:AO$40))),"",AVERAGE(IF($C$4:$C$40="M",AO$4:AO$40)))</f>
        <v>0.17243402840920569</v>
      </c>
      <c r="AP43" s="244">
        <f t="array" aca="1" ref="AP43" ca="1">IF(ISERROR(AVERAGE(IF($C$4:$C$40="M",AP$4:AP$40))),"",AVERAGE(IF($C$4:$C$40="M",AP$4:AP$40)))</f>
        <v>5.1888888888888864</v>
      </c>
      <c r="AQ43" s="244">
        <f t="array" aca="1" ref="AQ43" ca="1">IF(ISERROR(AVERAGE(IF($C$4:$C$40="M",AQ$4:AQ$40))),"",AVERAGE(IF($C$4:$C$40="M",AQ$4:AQ$40)))</f>
        <v>5.3222222222222202</v>
      </c>
      <c r="AR43" s="244">
        <f t="array" aca="1" ref="AR43" ca="1">IF(ISERROR(AVERAGE(IF($C$4:$C$40="M",AR$4:AR$40))),"",AVERAGE(IF($C$4:$C$40="M",AR$4:AR$40)))</f>
        <v>5.2555555555555538</v>
      </c>
      <c r="AS43" s="249">
        <f t="array" aca="1" ref="AS43" ca="1">IF(ISERROR(AVERAGE(IF($C$4:$C$40="M",AS$4:AS$40))),"",AVERAGE(IF($C$4:$C$40="M",AS$4:AS$40)))</f>
        <v>3.75</v>
      </c>
      <c r="AT43" s="257"/>
      <c r="AU43" s="20"/>
      <c r="AV43" s="20"/>
      <c r="AW43" s="254" t="s">
        <v>107</v>
      </c>
      <c r="AX43" s="255">
        <f t="array" ref="AX43">IF(ISERROR(AVERAGE(IF($C$4:$C$40="M",AX$4:AX$40))),"",AVERAGE(IF($C$4:$C$40="M",AX$4:AX$40)))</f>
        <v>6.7</v>
      </c>
      <c r="AY43" s="245">
        <f t="array" ref="AY43">IF(ISERROR(AVERAGE(IF($C$4:$C$40="M",AY$4:AY$40))),"",AVERAGE(IF($C$4:$C$40="M",AY$4:AY$40)))</f>
        <v>6.0555555555555554</v>
      </c>
      <c r="AZ43" s="249">
        <f t="array" ref="AZ43">IF(ISERROR(AVERAGE(IF($C$4:$C$40="M",AZ$4:AZ$40))),"",AVERAGE(IF($C$4:$C$40="M",AZ$4:AZ$40)))</f>
        <v>21.799999999999997</v>
      </c>
      <c r="BA43" s="249"/>
      <c r="BB43" s="258">
        <f t="array" ref="BB43">IF(ISERROR(AVERAGE(IF($C$4:$C$40="M",BB$4:BB$40))),"",AVERAGE(IF($C$4:$C$40="M",BB$4:BB$40)))</f>
        <v>4.2825767176992109E-2</v>
      </c>
      <c r="BC43" s="244">
        <f t="array" aca="1" ref="BC43" ca="1">IF(ISERROR(AVERAGE(IF($C$4:$C$40="M",BC$4:BC$40))),"",AVERAGE(IF($C$4:$C$40="M",BC$4:BC$40)))</f>
        <v>6.5000000000000009</v>
      </c>
      <c r="BD43" s="244">
        <f t="array" aca="1" ref="BD43" ca="1">IF(ISERROR(AVERAGE(IF($C$4:$C$40="M",BD$4:BD$40))),"",AVERAGE(IF($C$4:$C$40="M",BD$4:BD$40)))</f>
        <v>6.7333333333333343</v>
      </c>
      <c r="BE43" s="244">
        <f t="array" aca="1" ref="BE43" ca="1">IF(ISERROR(AVERAGE(IF($C$4:$C$40="M",BE$4:BE$40))),"",AVERAGE(IF($C$4:$C$40="M",BE$4:BE$40)))</f>
        <v>6.7333333333333343</v>
      </c>
      <c r="BF43" s="249">
        <f t="array" aca="1" ref="BF43" ca="1">IF(ISERROR(AVERAGE(IF($C$4:$C$40="M",BF$4:BF$40))),"",AVERAGE(IF($C$4:$C$40="M",BF$4:BF$40)))</f>
        <v>3.75</v>
      </c>
      <c r="BG43" s="20"/>
      <c r="BH43" s="20"/>
      <c r="BI43" s="20"/>
      <c r="BJ43" s="20"/>
      <c r="BK43" s="20"/>
      <c r="BL43" s="20"/>
    </row>
    <row r="44" spans="2:64" ht="16.5" customHeight="1">
      <c r="B44" s="229" t="s">
        <v>108</v>
      </c>
      <c r="C44" s="230">
        <v>3</v>
      </c>
      <c r="D44" s="231"/>
      <c r="E44" s="231"/>
      <c r="F44" s="20"/>
      <c r="G44" s="259" t="s">
        <v>109</v>
      </c>
      <c r="H44" s="233">
        <f t="array" aca="1" ref="H44" ca="1">IF(ISERROR(MIN(IF($C$4:$C$40="F",H$4:H$40))),"",MIN(IF($C$4:$C$40="F",H$4:H$40)))</f>
        <v>11.666666666666668</v>
      </c>
      <c r="I44" s="215"/>
      <c r="J44" s="250"/>
      <c r="K44" s="250"/>
      <c r="L44" s="236" t="s">
        <v>109</v>
      </c>
      <c r="M44" s="237">
        <f t="array" ref="M44">IF(ISERROR(MIN(IF($C$4:$C$40="F",M$4:M$40))),"",MIN(IF($C$4:$C$40="F",M$4:M$40)))</f>
        <v>2.4</v>
      </c>
      <c r="N44" s="238">
        <f t="array" ref="N44">IF(ISERROR(MIN(IF($C$4:$C$40="F",N$4:N$40))),"",MIN(IF($C$4:$C$40="F",N$4:N$40)))</f>
        <v>3.7</v>
      </c>
      <c r="O44" s="238">
        <f t="array" ref="O44">IF(ISERROR(MIN(IF($C$4:$C$40="F",O$4:O$40))),"",MIN(IF($C$4:$C$40="F",O$4:O$40)))</f>
        <v>13.32</v>
      </c>
      <c r="P44" s="233">
        <f t="array" ref="P44">IF(ISERROR(MIN(IF($C$4:$C$40="F",P$4:P$40))),"",MIN(IF($C$4:$C$40="F",P$4:P$40)))</f>
        <v>1.3703703703703702</v>
      </c>
      <c r="Q44" s="239">
        <f t="array" aca="1" ref="Q44" ca="1">IF(ISERROR(MIN(IF($C$4:$C$40="F",Q$4:Q$40))),"",MIN(IF($C$4:$C$40="F",Q$4:Q$40)))</f>
        <v>2.4</v>
      </c>
      <c r="R44" s="239">
        <f t="array" aca="1" ref="R44" ca="1">IF(ISERROR(MIN(IF($C$4:$C$40="F",R$4:R$40))),"",MIN(IF($C$4:$C$40="F",R$4:R$40)))</f>
        <v>2.6</v>
      </c>
      <c r="S44" s="239">
        <f t="array" aca="1" ref="S44" ca="1">IF(ISERROR(MIN(IF($C$4:$C$40="F",S$4:S$40))),"",MIN(IF($C$4:$C$40="F",S$4:S$40)))</f>
        <v>2.4</v>
      </c>
      <c r="T44" s="238">
        <f t="array" aca="1" ref="T44" ca="1">IF(ISERROR(MIN(IF($C$4:$C$40="F",T$4:T$40))),"",MIN(IF($C$4:$C$40="F",T$4:T$40)))</f>
        <v>3</v>
      </c>
      <c r="U44" s="20"/>
      <c r="V44" s="20"/>
      <c r="W44" s="20"/>
      <c r="X44" s="242" t="s">
        <v>109</v>
      </c>
      <c r="Y44" s="243">
        <f t="array" ref="Y44">IF(ISERROR(MIN(IF($C$4:$C$40="F",Y$4:Y$40))),"",MIN(IF($C$4:$C$40="F",Y$4:Y$40)))</f>
        <v>3.2</v>
      </c>
      <c r="Z44" s="233">
        <f t="array" ref="Z44">IF(ISERROR(MIN(IF($C$4:$C$40="F",Z$4:Z$40))),"",MIN(IF($C$4:$C$40="F",Z$4:Z$40)))</f>
        <v>4.2</v>
      </c>
      <c r="AA44" s="233">
        <f t="array" ref="AA44">IF(ISERROR(MIN(IF($C$4:$C$40="F",AA$4:AA$40))),"",MIN(IF($C$4:$C$40="F",AA$4:AA$40)))</f>
        <v>15.12</v>
      </c>
      <c r="AB44" s="233">
        <f t="array" ref="AB44">IF(ISERROR(MIN(IF($C$4:$C$40="F",AB$4:AB$40))),"",MIN(IF($C$4:$C$40="F",AB$4:AB$40)))</f>
        <v>0.33333333333333315</v>
      </c>
      <c r="AC44" s="244">
        <f t="array" aca="1" ref="AC44" ca="1">IF(ISERROR(MIN(IF($C$4:$C$40="F",AC$4:AC$40))),"",MIN(IF($C$4:$C$40="F",AC$4:AC$40)))</f>
        <v>3.2</v>
      </c>
      <c r="AD44" s="244">
        <f t="array" aca="1" ref="AD44" ca="1">IF(ISERROR(MIN(IF($C$4:$C$40="F",AD$4:AD$40))),"",MIN(IF($C$4:$C$40="F",AD$4:AD$40)))</f>
        <v>3.4000000000000004</v>
      </c>
      <c r="AE44" s="244">
        <f t="array" aca="1" ref="AE44" ca="1">IF(ISERROR(MIN(IF($C$4:$C$40="F",AE$4:AE$40))),"",MIN(IF($C$4:$C$40="F",AE$4:AE$40)))</f>
        <v>3.2</v>
      </c>
      <c r="AF44" s="233">
        <f t="array" aca="1" ref="AF44" ca="1">IF(ISERROR(MIN(IF($C$4:$C$40="F",AF$4:AF$40))),"",MIN(IF($C$4:$C$40="F",AF$4:AF$40)))</f>
        <v>3</v>
      </c>
      <c r="AG44" s="20"/>
      <c r="AH44" s="20"/>
      <c r="AI44" s="20"/>
      <c r="AJ44" s="242" t="s">
        <v>109</v>
      </c>
      <c r="AK44" s="243">
        <f t="array" ref="AK44">IF(ISERROR(MIN(IF($C$4:$C$40="F",AK$4:AK$40))),"",MIN(IF($C$4:$C$40="F",AK$4:AK$40)))</f>
        <v>5.4</v>
      </c>
      <c r="AL44" s="245">
        <f t="array" ref="AL44">IF(ISERROR(MIN(IF($C$4:$C$40="F",AL$4:AL$40))),"",MIN(IF($C$4:$C$40="F",AL$4:AL$40)))</f>
        <v>4.7</v>
      </c>
      <c r="AM44" s="233">
        <f t="array" ref="AM44">IF(ISERROR(MIN(IF($C$4:$C$40="F",AM$4:AM$40))),"",MIN(IF($C$4:$C$40="F",AM$4:AM$40)))</f>
        <v>16.920000000000002</v>
      </c>
      <c r="AN44" s="233">
        <f t="array" ref="AN44">IF(ISERROR(MIN(IF($C$4:$C$40="F",AN$4:AN$40))),"",MIN(IF($C$4:$C$40="F",AN$4:AN$40)))</f>
        <v>0.17857142857142855</v>
      </c>
      <c r="AO44" s="246">
        <f t="array" ref="AO44">IF(ISERROR(MIN(IF($C$4:$C$40="F",AO$4:AO$40))),"",MIN(IF($C$4:$C$40="F",AO$4:AO$40)))</f>
        <v>0.11363636363636354</v>
      </c>
      <c r="AP44" s="244">
        <f t="array" aca="1" ref="AP44" ca="1">IF(ISERROR(MIN(IF($C$4:$C$40="F",AP$4:AP$40))),"",MIN(IF($C$4:$C$40="F",AP$4:AP$40)))</f>
        <v>3</v>
      </c>
      <c r="AQ44" s="244">
        <f t="array" aca="1" ref="AQ44" ca="1">IF(ISERROR(MIN(IF($C$4:$C$40="F",AQ$4:AQ$40))),"",MIN(IF($C$4:$C$40="F",AQ$4:AQ$40)))</f>
        <v>5.5</v>
      </c>
      <c r="AR44" s="244">
        <f t="array" aca="1" ref="AR44" ca="1">IF(ISERROR(MIN(IF($C$4:$C$40="F",AR$4:AR$40))),"",MIN(IF($C$4:$C$40="F",AR$4:AR$40)))</f>
        <v>5.5</v>
      </c>
      <c r="AS44" s="233">
        <f t="array" aca="1" ref="AS44" ca="1">IF(ISERROR(MIN(IF($C$4:$C$40="F",AS$4:AS$40))),"",MIN(IF($C$4:$C$40="F",AS$4:AS$40)))</f>
        <v>3</v>
      </c>
      <c r="AT44" s="20"/>
      <c r="AU44" s="20"/>
      <c r="AV44" s="20"/>
      <c r="AW44" s="242" t="s">
        <v>109</v>
      </c>
      <c r="AX44" s="243">
        <f t="array" ref="AX44">IF(ISERROR(MIN(IF($C$4:$C$40="F",AX$4:AX$40))),"",MIN(IF($C$4:$C$40="F",AX$4:AX$40)))</f>
        <v>6.9</v>
      </c>
      <c r="AY44" s="245">
        <f t="array" ref="AY44">IF(ISERROR(MIN(IF($C$4:$C$40="F",AY$4:AY$40))),"",MIN(IF($C$4:$C$40="F",AY$4:AY$40)))</f>
        <v>4.8</v>
      </c>
      <c r="AZ44" s="233">
        <f t="array" ref="AZ44">IF(ISERROR(MIN(IF($C$4:$C$40="F",AZ$4:AZ$40))),"",MIN(IF($C$4:$C$40="F",AZ$4:AZ$40)))</f>
        <v>17.28</v>
      </c>
      <c r="BA44" s="233"/>
      <c r="BB44" s="247">
        <f t="array" ref="BB44">IF(ISERROR(MIN(IF($C$4:$C$40="F",BB$4:BB$40))),"",MIN(IF($C$4:$C$40="F",BB$4:BB$40)))</f>
        <v>0</v>
      </c>
      <c r="BC44" s="244">
        <f t="array" aca="1" ref="BC44" ca="1">IF(ISERROR(MIN(IF($C$4:$C$40="F",BC$4:BC$40))),"",MIN(IF($C$4:$C$40="F",BC$4:BC$40)))</f>
        <v>6.8</v>
      </c>
      <c r="BD44" s="244">
        <f t="array" aca="1" ref="BD44" ca="1">IF(ISERROR(MIN(IF($C$4:$C$40="F",BD$4:BD$40))),"",MIN(IF($C$4:$C$40="F",BD$4:BD$40)))</f>
        <v>7</v>
      </c>
      <c r="BE44" s="244">
        <f t="array" aca="1" ref="BE44" ca="1">IF(ISERROR(MIN(IF($C$4:$C$40="F",BE$4:BE$40))),"",MIN(IF($C$4:$C$40="F",BE$4:BE$40)))</f>
        <v>7</v>
      </c>
      <c r="BF44" s="233">
        <f t="array" aca="1" ref="BF44" ca="1">IF(ISERROR(MIN(IF($C$4:$C$40="F",BF$4:BF$40))),"",MIN(IF($C$4:$C$40="F",BF$4:BF$40)))</f>
        <v>2.75</v>
      </c>
      <c r="BG44" s="20"/>
      <c r="BH44" s="20"/>
      <c r="BI44" s="20"/>
      <c r="BJ44" s="20"/>
      <c r="BK44" s="20"/>
      <c r="BL44" s="20"/>
    </row>
    <row r="45" spans="2:64" ht="16.5" customHeight="1">
      <c r="B45" s="20"/>
      <c r="C45" s="20"/>
      <c r="D45" s="55"/>
      <c r="E45" s="55"/>
      <c r="F45" s="20"/>
      <c r="G45" s="248" t="s">
        <v>110</v>
      </c>
      <c r="H45" s="249">
        <f t="array" aca="1" ref="H45" ca="1">IF(ISERROR(MIN(IF($C$4:$C$40="M",H$4:H$40))),"",MIN(IF($C$4:$C$40="M",H$4:H$40)))</f>
        <v>9.6666666666666661</v>
      </c>
      <c r="I45" s="215"/>
      <c r="J45" s="250"/>
      <c r="K45" s="250"/>
      <c r="L45" s="251" t="s">
        <v>110</v>
      </c>
      <c r="M45" s="252">
        <f t="array" ref="M45">IF(ISERROR(MIN(IF($C$4:$C$40="M",M$4:M$40))),"",MIN(IF($C$4:$C$40="M",M$4:M$40)))</f>
        <v>2.1</v>
      </c>
      <c r="N45" s="253">
        <f t="array" ref="N45">IF(ISERROR(MIN(IF($C$4:$C$40="M",N$4:N$40))),"",MIN(IF($C$4:$C$40="M",N$4:N$40)))</f>
        <v>4</v>
      </c>
      <c r="O45" s="253">
        <f t="array" ref="O45">IF(ISERROR(MIN(IF($C$4:$C$40="M",O$4:O$40))),"",MIN(IF($C$4:$C$40="M",O$4:O$40)))</f>
        <v>14.4</v>
      </c>
      <c r="P45" s="249">
        <f t="array" ref="P45">IF(ISERROR(MIN(IF($C$4:$C$40="M",P$4:P$40))),"",MIN(IF($C$4:$C$40="M",P$4:P$40)))</f>
        <v>1.6</v>
      </c>
      <c r="Q45" s="239">
        <f t="array" aca="1" ref="Q45" ca="1">IF(ISERROR(MIN(IF($C$4:$C$40="M",Q$4:Q$40))),"",MIN(IF($C$4:$C$40="M",Q$4:Q$40)))</f>
        <v>2.1</v>
      </c>
      <c r="R45" s="239">
        <f t="array" aca="1" ref="R45" ca="1">IF(ISERROR(MIN(IF($C$4:$C$40="M",R$4:R$40))),"",MIN(IF($C$4:$C$40="M",R$4:R$40)))</f>
        <v>2.3000000000000003</v>
      </c>
      <c r="S45" s="239">
        <f t="array" aca="1" ref="S45" ca="1">IF(ISERROR(MIN(IF($C$4:$C$40="M",S$4:S$40))),"",MIN(IF($C$4:$C$40="M",S$4:S$40)))</f>
        <v>2.1</v>
      </c>
      <c r="T45" s="253">
        <f t="array" aca="1" ref="T45" ca="1">IF(ISERROR(MIN(IF($C$4:$C$40="M",T$4:T$40))),"",MIN(IF($C$4:$C$40="M",T$4:T$40)))</f>
        <v>2</v>
      </c>
      <c r="U45" s="20"/>
      <c r="V45" s="20"/>
      <c r="W45" s="20"/>
      <c r="X45" s="254" t="s">
        <v>110</v>
      </c>
      <c r="Y45" s="255">
        <f t="array" ref="Y45">IF(ISERROR(MIN(IF($C$4:$C$40="M",Y$4:Y$40))),"",MIN(IF($C$4:$C$40="M",Y$4:Y$40)))</f>
        <v>2.8</v>
      </c>
      <c r="Z45" s="249">
        <f t="array" ref="Z45">IF(ISERROR(MIN(IF($C$4:$C$40="M",Z$4:Z$40))),"",MIN(IF($C$4:$C$40="M",Z$4:Z$40)))</f>
        <v>4.5</v>
      </c>
      <c r="AA45" s="249">
        <f t="array" ref="AA45">IF(ISERROR(MIN(IF($C$4:$C$40="M",AA$4:AA$40))),"",MIN(IF($C$4:$C$40="M",AA$4:AA$40)))</f>
        <v>16.2</v>
      </c>
      <c r="AB45" s="249">
        <f t="array" ref="AB45">IF(ISERROR(MIN(IF($C$4:$C$40="M",AB$4:AB$40))),"",MIN(IF($C$4:$C$40="M",AB$4:AB$40)))</f>
        <v>0.50000000000000056</v>
      </c>
      <c r="AC45" s="244">
        <f t="array" aca="1" ref="AC45" ca="1">IF(ISERROR(MIN(IF($C$4:$C$40="M",AC$4:AC$40))),"",MIN(IF($C$4:$C$40="M",AC$4:AC$40)))</f>
        <v>2.8</v>
      </c>
      <c r="AD45" s="244">
        <f t="array" aca="1" ref="AD45" ca="1">IF(ISERROR(MIN(IF($C$4:$C$40="M",AD$4:AD$40))),"",MIN(IF($C$4:$C$40="M",AD$4:AD$40)))</f>
        <v>3</v>
      </c>
      <c r="AE45" s="244">
        <f t="array" aca="1" ref="AE45" ca="1">IF(ISERROR(MIN(IF($C$4:$C$40="M",AE$4:AE$40))),"",MIN(IF($C$4:$C$40="M",AE$4:AE$40)))</f>
        <v>2.8</v>
      </c>
      <c r="AF45" s="249">
        <f t="array" aca="1" ref="AF45" ca="1">IF(ISERROR(MIN(IF($C$4:$C$40="M",AF$4:AF$40))),"",MIN(IF($C$4:$C$40="M",AF$4:AF$40)))</f>
        <v>2</v>
      </c>
      <c r="AG45" s="20"/>
      <c r="AH45" s="20"/>
      <c r="AI45" s="20"/>
      <c r="AJ45" s="254" t="s">
        <v>110</v>
      </c>
      <c r="AK45" s="255">
        <f t="array" ref="AK45">IF(ISERROR(MIN(IF($C$4:$C$40="M",AK$4:AK$40))),"",MIN(IF($C$4:$C$40="M",AK$4:AK$40)))</f>
        <v>4.8</v>
      </c>
      <c r="AL45" s="245">
        <f t="array" ref="AL45">IF(ISERROR(MIN(IF($C$4:$C$40="M",AL$4:AL$40))),"",MIN(IF($C$4:$C$40="M",AL$4:AL$40)))</f>
        <v>5.2</v>
      </c>
      <c r="AM45" s="249">
        <f t="array" ref="AM45">IF(ISERROR(MIN(IF($C$4:$C$40="M",AM$4:AM$40))),"",MIN(IF($C$4:$C$40="M",AM$4:AM$40)))</f>
        <v>18.72</v>
      </c>
      <c r="AN45" s="249">
        <f t="array" ref="AN45">IF(ISERROR(MIN(IF($C$4:$C$40="M",AN$4:AN$40))),"",MIN(IF($C$4:$C$40="M",AN$4:AN$40)))</f>
        <v>0.28000000000000008</v>
      </c>
      <c r="AO45" s="256">
        <f t="array" ref="AO45">IF(ISERROR(MIN(IF($C$4:$C$40="M",AO$4:AO$40))),"",MIN(IF($C$4:$C$40="M",AO$4:AO$40)))</f>
        <v>0.14893617021276584</v>
      </c>
      <c r="AP45" s="244">
        <f t="array" aca="1" ref="AP45" ca="1">IF(ISERROR(MIN(IF($C$4:$C$40="M",AP$4:AP$40))),"",MIN(IF($C$4:$C$40="M",AP$4:AP$40)))</f>
        <v>4.8</v>
      </c>
      <c r="AQ45" s="244">
        <f t="array" aca="1" ref="AQ45" ca="1">IF(ISERROR(MIN(IF($C$4:$C$40="M",AQ$4:AQ$40))),"",MIN(IF($C$4:$C$40="M",AQ$4:AQ$40)))</f>
        <v>4.8999999999999995</v>
      </c>
      <c r="AR45" s="244">
        <f t="array" aca="1" ref="AR45" ca="1">IF(ISERROR(MIN(IF($C$4:$C$40="M",AR$4:AR$40))),"",MIN(IF($C$4:$C$40="M",AR$4:AR$40)))</f>
        <v>4.8</v>
      </c>
      <c r="AS45" s="249">
        <f t="array" aca="1" ref="AS45" ca="1">IF(ISERROR(MIN(IF($C$4:$C$40="M",AS$4:AS$40))),"",MIN(IF($C$4:$C$40="M",AS$4:AS$40)))</f>
        <v>2.5</v>
      </c>
      <c r="AT45" s="20"/>
      <c r="AU45" s="20"/>
      <c r="AV45" s="20"/>
      <c r="AW45" s="254" t="s">
        <v>110</v>
      </c>
      <c r="AX45" s="255">
        <f t="array" ref="AX45">IF(ISERROR(MIN(IF($C$4:$C$40="M",AX$4:AX$40))),"",MIN(IF($C$4:$C$40="M",AX$4:AX$40)))</f>
        <v>6.1</v>
      </c>
      <c r="AY45" s="245">
        <f t="array" ref="AY45">IF(ISERROR(MIN(IF($C$4:$C$40="M",AY$4:AY$40))),"",MIN(IF($C$4:$C$40="M",AY$4:AY$40)))</f>
        <v>5.3</v>
      </c>
      <c r="AZ45" s="249">
        <f t="array" ref="AZ45">IF(ISERROR(MIN(IF($C$4:$C$40="M",AZ$4:AZ$40))),"",MIN(IF($C$4:$C$40="M",AZ$4:AZ$40)))</f>
        <v>19.079999999999998</v>
      </c>
      <c r="BA45" s="249"/>
      <c r="BB45" s="258">
        <f t="array" ref="BB45">IF(ISERROR(MIN(IF($C$4:$C$40="M",BB$4:BB$40))),"",MIN(IF($C$4:$C$40="M",BB$4:BB$40)))</f>
        <v>-1.8518518518518712E-2</v>
      </c>
      <c r="BC45" s="244">
        <f t="array" aca="1" ref="BC45" ca="1">IF(ISERROR(MIN(IF($C$4:$C$40="M",BC$4:BC$40))),"",MIN(IF($C$4:$C$40="M",BC$4:BC$40)))</f>
        <v>5.9</v>
      </c>
      <c r="BD45" s="244">
        <f t="array" aca="1" ref="BD45" ca="1">IF(ISERROR(MIN(IF($C$4:$C$40="M",BD$4:BD$40))),"",MIN(IF($C$4:$C$40="M",BD$4:BD$40)))</f>
        <v>6.1000000000000005</v>
      </c>
      <c r="BE45" s="244">
        <f t="array" aca="1" ref="BE45" ca="1">IF(ISERROR(MIN(IF($C$4:$C$40="M",BE$4:BE$40))),"",MIN(IF($C$4:$C$40="M",BE$4:BE$40)))</f>
        <v>6.1000000000000005</v>
      </c>
      <c r="BF45" s="249">
        <f t="array" aca="1" ref="BF45" ca="1">IF(ISERROR(MIN(IF($C$4:$C$40="M",BF$4:BF$40))),"",MIN(IF($C$4:$C$40="M",BF$4:BF$40)))</f>
        <v>2.75</v>
      </c>
      <c r="BG45" s="20"/>
      <c r="BH45" s="20"/>
      <c r="BI45" s="20"/>
      <c r="BJ45" s="20"/>
      <c r="BK45" s="20"/>
      <c r="BL45" s="20"/>
    </row>
    <row r="46" spans="2:64" ht="16.5" customHeight="1">
      <c r="B46" s="20"/>
      <c r="C46" s="20"/>
      <c r="D46" s="55"/>
      <c r="E46" s="55"/>
      <c r="F46" s="20"/>
      <c r="G46" s="259" t="s">
        <v>111</v>
      </c>
      <c r="H46" s="233">
        <f t="array" aca="1" ref="H46" ca="1">IF(ISERROR(MAX(IF($C$4:$C$40="F",H$4:H$40))),"",MAX(IF($C$4:$C$40="F",H$4:H$40)))</f>
        <v>19.333333333333332</v>
      </c>
      <c r="I46" s="215"/>
      <c r="J46" s="250"/>
      <c r="K46" s="250"/>
      <c r="L46" s="236" t="s">
        <v>111</v>
      </c>
      <c r="M46" s="237">
        <f t="array" ref="M46">IF(ISERROR(MAX(IF($C$4:$C$40="F",M$4:M$40))),"",MAX(IF($C$4:$C$40="F",M$4:M$40)))</f>
        <v>2.7</v>
      </c>
      <c r="N46" s="238">
        <f t="array" ref="N46">IF(ISERROR(MAX(IF($C$4:$C$40="F",N$4:N$40))),"",MAX(IF($C$4:$C$40="F",N$4:N$40)))</f>
        <v>4.2</v>
      </c>
      <c r="O46" s="238">
        <f t="array" ref="O46">IF(ISERROR(MAX(IF($C$4:$C$40="F",O$4:O$40))),"",MAX(IF($C$4:$C$40="F",O$4:O$40)))</f>
        <v>15.12</v>
      </c>
      <c r="P46" s="233">
        <f t="array" ref="P46">IF(ISERROR(MAX(IF($C$4:$C$40="F",P$4:P$40))),"",MAX(IF($C$4:$C$40="F",P$4:P$40)))</f>
        <v>1.7500000000000002</v>
      </c>
      <c r="Q46" s="239">
        <f t="array" aca="1" ref="Q46" ca="1">IF(ISERROR(MAX(IF($C$4:$C$40="F",Q$4:Q$40))),"",MAX(IF($C$4:$C$40="F",Q$4:Q$40)))</f>
        <v>2.6</v>
      </c>
      <c r="R46" s="239">
        <f t="array" aca="1" ref="R46" ca="1">IF(ISERROR(MAX(IF($C$4:$C$40="F",R$4:R$40))),"",MAX(IF($C$4:$C$40="F",R$4:R$40)))</f>
        <v>2.8000000000000003</v>
      </c>
      <c r="S46" s="239">
        <f t="array" aca="1" ref="S46" ca="1">IF(ISERROR(MAX(IF($C$4:$C$40="F",S$4:S$40))),"",MAX(IF($C$4:$C$40="F",S$4:S$40)))</f>
        <v>2.8000000000000003</v>
      </c>
      <c r="T46" s="238">
        <f t="array" aca="1" ref="T46" ca="1">IF(ISERROR(MAX(IF($C$4:$C$40="F",T$4:T$40))),"",MAX(IF($C$4:$C$40="F",T$4:T$40)))</f>
        <v>5</v>
      </c>
      <c r="U46" s="20"/>
      <c r="V46" s="20"/>
      <c r="W46" s="20"/>
      <c r="X46" s="242" t="s">
        <v>111</v>
      </c>
      <c r="Y46" s="243">
        <f t="array" ref="Y46">IF(ISERROR(MAX(IF($C$4:$C$40="F",Y$4:Y$40))),"",MAX(IF($C$4:$C$40="F",Y$4:Y$40)))</f>
        <v>3.6</v>
      </c>
      <c r="Z46" s="233">
        <f t="array" ref="Z46">IF(ISERROR(MAX(IF($C$4:$C$40="F",Z$4:Z$40))),"",MAX(IF($C$4:$C$40="F",Z$4:Z$40)))</f>
        <v>4.7</v>
      </c>
      <c r="AA46" s="233">
        <f t="array" ref="AA46">IF(ISERROR(MAX(IF($C$4:$C$40="F",AA$4:AA$40))),"",MAX(IF($C$4:$C$40="F",AA$4:AA$40)))</f>
        <v>16.920000000000002</v>
      </c>
      <c r="AB46" s="233">
        <f t="array" ref="AB46">IF(ISERROR(MAX(IF($C$4:$C$40="F",AB$4:AB$40))),"",MAX(IF($C$4:$C$40="F",AB$4:AB$40)))</f>
        <v>0.75000000000000089</v>
      </c>
      <c r="AC46" s="244">
        <f t="array" aca="1" ref="AC46" ca="1">IF(ISERROR(MAX(IF($C$4:$C$40="F",AC$4:AC$40))),"",MAX(IF($C$4:$C$40="F",AC$4:AC$40)))</f>
        <v>3.4000000000000004</v>
      </c>
      <c r="AD46" s="244">
        <f t="array" aca="1" ref="AD46" ca="1">IF(ISERROR(MAX(IF($C$4:$C$40="F",AD$4:AD$40))),"",MAX(IF($C$4:$C$40="F",AD$4:AD$40)))</f>
        <v>3.6000000000000005</v>
      </c>
      <c r="AE46" s="244">
        <f t="array" aca="1" ref="AE46" ca="1">IF(ISERROR(MAX(IF($C$4:$C$40="F",AE$4:AE$40))),"",MAX(IF($C$4:$C$40="F",AE$4:AE$40)))</f>
        <v>3.6000000000000005</v>
      </c>
      <c r="AF46" s="233">
        <f t="array" aca="1" ref="AF46" ca="1">IF(ISERROR(MAX(IF($C$4:$C$40="F",AF$4:AF$40))),"",MAX(IF($C$4:$C$40="F",AF$4:AF$40)))</f>
        <v>5</v>
      </c>
      <c r="AG46" s="20"/>
      <c r="AH46" s="20"/>
      <c r="AI46" s="20"/>
      <c r="AJ46" s="242" t="s">
        <v>111</v>
      </c>
      <c r="AK46" s="243">
        <f t="array" ref="AK46">IF(ISERROR(MAX(IF($C$4:$C$40="F",AK$4:AK$40))),"",MAX(IF($C$4:$C$40="F",AK$4:AK$40)))</f>
        <v>6.4</v>
      </c>
      <c r="AL46" s="245">
        <f t="array" ref="AL46">IF(ISERROR(MAX(IF($C$4:$C$40="F",AL$4:AL$40))),"",MAX(IF($C$4:$C$40="F",AL$4:AL$40)))</f>
        <v>5.6</v>
      </c>
      <c r="AM46" s="233">
        <f t="array" ref="AM46">IF(ISERROR(MAX(IF($C$4:$C$40="F",AM$4:AM$40))),"",MAX(IF($C$4:$C$40="F",AM$4:AM$40)))</f>
        <v>20.16</v>
      </c>
      <c r="AN46" s="233">
        <f t="array" ref="AN46">IF(ISERROR(MAX(IF($C$4:$C$40="F",AN$4:AN$40))),"",MAX(IF($C$4:$C$40="F",AN$4:AN$40)))</f>
        <v>0.40909090909090884</v>
      </c>
      <c r="AO46" s="246">
        <f t="array" ref="AO46">IF(ISERROR(MAX(IF($C$4:$C$40="F",AO$4:AO$40))),"",MAX(IF($C$4:$C$40="F",AO$4:AO$40)))</f>
        <v>0.20454545454545436</v>
      </c>
      <c r="AP46" s="244">
        <f t="array" aca="1" ref="AP46" ca="1">IF(ISERROR(MAX(IF($C$4:$C$40="F",AP$4:AP$40))),"",MAX(IF($C$4:$C$40="F",AP$4:AP$40)))</f>
        <v>6.3999999999999977</v>
      </c>
      <c r="AQ46" s="244">
        <f t="array" aca="1" ref="AQ46" ca="1">IF(ISERROR(MAX(IF($C$4:$C$40="F",AQ$4:AQ$40))),"",MAX(IF($C$4:$C$40="F",AQ$4:AQ$40)))</f>
        <v>6.5999999999999979</v>
      </c>
      <c r="AR46" s="244">
        <f t="array" aca="1" ref="AR46" ca="1">IF(ISERROR(MAX(IF($C$4:$C$40="F",AR$4:AR$40))),"",MAX(IF($C$4:$C$40="F",AR$4:AR$40)))</f>
        <v>6.3999999999999977</v>
      </c>
      <c r="AS46" s="233">
        <f t="array" aca="1" ref="AS46" ca="1">IF(ISERROR(MAX(IF($C$4:$C$40="F",AS$4:AS$40))),"",MAX(IF($C$4:$C$40="F",AS$4:AS$40)))</f>
        <v>5</v>
      </c>
      <c r="AT46" s="20"/>
      <c r="AU46" s="20"/>
      <c r="AV46" s="20"/>
      <c r="AW46" s="242" t="s">
        <v>111</v>
      </c>
      <c r="AX46" s="243">
        <f t="array" ref="AX46">IF(ISERROR(MAX(IF($C$4:$C$40="F",AX$4:AX$40))),"",MAX(IF($C$4:$C$40="F",AX$4:AX$40)))</f>
        <v>8.3000000000000007</v>
      </c>
      <c r="AY46" s="245">
        <f t="array" ref="AY46">IF(ISERROR(MAX(IF($C$4:$C$40="F",AY$4:AY$40))),"",MAX(IF($C$4:$C$40="F",AY$4:AY$40)))</f>
        <v>5.8</v>
      </c>
      <c r="AZ46" s="233">
        <f t="array" ref="AZ46">IF(ISERROR(MAX(IF($C$4:$C$40="F",AZ$4:AZ$40))),"",MAX(IF($C$4:$C$40="F",AZ$4:AZ$40)))</f>
        <v>20.88</v>
      </c>
      <c r="BA46" s="233"/>
      <c r="BB46" s="247">
        <f t="array" ref="BB46">IF(ISERROR(MAX(IF($C$4:$C$40="F",BB$4:BB$40))),"",MAX(IF($C$4:$C$40="F",BB$4:BB$40)))</f>
        <v>4.0816326530612068E-2</v>
      </c>
      <c r="BC46" s="244">
        <f t="array" aca="1" ref="BC46" ca="1">IF(ISERROR(MAX(IF($C$4:$C$40="F",BC$4:BC$40))),"",MAX(IF($C$4:$C$40="F",BC$4:BC$40)))</f>
        <v>8.1999999999999993</v>
      </c>
      <c r="BD46" s="244">
        <f t="array" aca="1" ref="BD46" ca="1">IF(ISERROR(MAX(IF($C$4:$C$40="F",BD$4:BD$40))),"",MAX(IF($C$4:$C$40="F",BD$4:BD$40)))</f>
        <v>8.5</v>
      </c>
      <c r="BE46" s="244">
        <f t="array" aca="1" ref="BE46" ca="1">IF(ISERROR(MAX(IF($C$4:$C$40="F",BE$4:BE$40))),"",MAX(IF($C$4:$C$40="F",BE$4:BE$40)))</f>
        <v>8.5</v>
      </c>
      <c r="BF46" s="233">
        <f t="array" aca="1" ref="BF46" ca="1">IF(ISERROR(MAX(IF($C$4:$C$40="F",BF$4:BF$40))),"",MAX(IF($C$4:$C$40="F",BF$4:BF$40)))</f>
        <v>4.5</v>
      </c>
      <c r="BG46" s="20"/>
      <c r="BH46" s="20"/>
      <c r="BI46" s="20"/>
      <c r="BJ46" s="20"/>
      <c r="BK46" s="20"/>
      <c r="BL46" s="20"/>
    </row>
    <row r="47" spans="2:64" ht="16.5" customHeight="1">
      <c r="B47" s="20"/>
      <c r="C47" s="20"/>
      <c r="D47" s="55"/>
      <c r="E47" s="55"/>
      <c r="F47" s="20"/>
      <c r="G47" s="248" t="s">
        <v>112</v>
      </c>
      <c r="H47" s="249">
        <f t="array" aca="1" ref="H47" ca="1">IF(ISERROR(MAX(IF($C$4:$C$40="M",H$4:H$40))),"",MAX(IF($C$4:$C$40="M",H$4:H$40)))</f>
        <v>19</v>
      </c>
      <c r="I47" s="215"/>
      <c r="J47" s="250"/>
      <c r="K47" s="250"/>
      <c r="L47" s="251" t="s">
        <v>112</v>
      </c>
      <c r="M47" s="252">
        <f t="array" ref="M47">IF(ISERROR(MAX(IF($C$4:$C$40="M",M$4:M$40))),"",MAX(IF($C$4:$C$40="M",M$4:M$40)))</f>
        <v>2.5</v>
      </c>
      <c r="N47" s="253">
        <f t="array" ref="N47">IF(ISERROR(MAX(IF($C$4:$C$40="M",N$4:N$40))),"",MAX(IF($C$4:$C$40="M",N$4:N$40)))</f>
        <v>4.8</v>
      </c>
      <c r="O47" s="253">
        <f t="array" ref="O47">IF(ISERROR(MAX(IF($C$4:$C$40="M",O$4:O$40))),"",MAX(IF($C$4:$C$40="M",O$4:O$40)))</f>
        <v>17.28</v>
      </c>
      <c r="P47" s="249">
        <f t="array" ref="P47">IF(ISERROR(MAX(IF($C$4:$C$40="M",P$4:P$40))),"",MAX(IF($C$4:$C$40="M",P$4:P$40)))</f>
        <v>2.2857142857142856</v>
      </c>
      <c r="Q47" s="239">
        <f t="array" aca="1" ref="Q47" ca="1">IF(ISERROR(MAX(IF($C$4:$C$40="M",Q$4:Q$40))),"",MAX(IF($C$4:$C$40="M",Q$4:Q$40)))</f>
        <v>2.3000000000000003</v>
      </c>
      <c r="R47" s="239">
        <f t="array" aca="1" ref="R47" ca="1">IF(ISERROR(MAX(IF($C$4:$C$40="M",R$4:R$40))),"",MAX(IF($C$4:$C$40="M",R$4:R$40)))</f>
        <v>2.5000000000000004</v>
      </c>
      <c r="S47" s="239">
        <f t="array" aca="1" ref="S47" ca="1">IF(ISERROR(MAX(IF($C$4:$C$40="M",S$4:S$40))),"",MAX(IF($C$4:$C$40="M",S$4:S$40)))</f>
        <v>2.5000000000000004</v>
      </c>
      <c r="T47" s="253">
        <f t="array" aca="1" ref="T47" ca="1">IF(ISERROR(MAX(IF($C$4:$C$40="M",T$4:T$40))),"",MAX(IF($C$4:$C$40="M",T$4:T$40)))</f>
        <v>4</v>
      </c>
      <c r="U47" s="20"/>
      <c r="V47" s="20"/>
      <c r="W47" s="20"/>
      <c r="X47" s="254" t="s">
        <v>112</v>
      </c>
      <c r="Y47" s="255">
        <f t="array" ref="Y47">IF(ISERROR(MAX(IF($C$4:$C$40="M",Y$4:Y$40))),"",MAX(IF($C$4:$C$40="M",Y$4:Y$40)))</f>
        <v>3.3</v>
      </c>
      <c r="Z47" s="249">
        <f t="array" ref="Z47">IF(ISERROR(MAX(IF($C$4:$C$40="M",Z$4:Z$40))),"",MAX(IF($C$4:$C$40="M",Z$4:Z$40)))</f>
        <v>5.4</v>
      </c>
      <c r="AA47" s="249">
        <f t="array" ref="AA47">IF(ISERROR(MAX(IF($C$4:$C$40="M",AA$4:AA$40))),"",MAX(IF($C$4:$C$40="M",AA$4:AA$40)))</f>
        <v>19.440000000000001</v>
      </c>
      <c r="AB47" s="249">
        <f t="array" ref="AB47">IF(ISERROR(MAX(IF($C$4:$C$40="M",AB$4:AB$40))),"",MAX(IF($C$4:$C$40="M",AB$4:AB$40)))</f>
        <v>1.0000000000000007</v>
      </c>
      <c r="AC47" s="244">
        <f t="array" aca="1" ref="AC47" ca="1">IF(ISERROR(MAX(IF($C$4:$C$40="M",AC$4:AC$40))),"",MAX(IF($C$4:$C$40="M",AC$4:AC$40)))</f>
        <v>3.2</v>
      </c>
      <c r="AD47" s="244">
        <f t="array" aca="1" ref="AD47" ca="1">IF(ISERROR(MAX(IF($C$4:$C$40="M",AD$4:AD$40))),"",MAX(IF($C$4:$C$40="M",AD$4:AD$40)))</f>
        <v>3.5</v>
      </c>
      <c r="AE47" s="244">
        <f t="array" aca="1" ref="AE47" ca="1">IF(ISERROR(MAX(IF($C$4:$C$40="M",AE$4:AE$40))),"",MAX(IF($C$4:$C$40="M",AE$4:AE$40)))</f>
        <v>3.5</v>
      </c>
      <c r="AF47" s="249">
        <f t="array" aca="1" ref="AF47" ca="1">IF(ISERROR(MAX(IF($C$4:$C$40="M",AF$4:AF$40))),"",MAX(IF($C$4:$C$40="M",AF$4:AF$40)))</f>
        <v>5</v>
      </c>
      <c r="AG47" s="20"/>
      <c r="AH47" s="20"/>
      <c r="AI47" s="20"/>
      <c r="AJ47" s="254" t="s">
        <v>112</v>
      </c>
      <c r="AK47" s="255">
        <f t="array" ref="AK47">IF(ISERROR(MAX(IF($C$4:$C$40="M",AK$4:AK$40))),"",MAX(IF($C$4:$C$40="M",AK$4:AK$40)))</f>
        <v>5.8</v>
      </c>
      <c r="AL47" s="245">
        <f t="array" ref="AL47">IF(ISERROR(MAX(IF($C$4:$C$40="M",AL$4:AL$40))),"",MAX(IF($C$4:$C$40="M",AL$4:AL$40)))</f>
        <v>6.3</v>
      </c>
      <c r="AM47" s="249">
        <f t="array" ref="AM47">IF(ISERROR(MAX(IF($C$4:$C$40="M",AM$4:AM$40))),"",MAX(IF($C$4:$C$40="M",AM$4:AM$40)))</f>
        <v>22.68</v>
      </c>
      <c r="AN47" s="249">
        <f t="array" ref="AN47">IF(ISERROR(MAX(IF($C$4:$C$40="M",AN$4:AN$40))),"",MAX(IF($C$4:$C$40="M",AN$4:AN$40)))</f>
        <v>0.57894736842105243</v>
      </c>
      <c r="AO47" s="256">
        <f t="array" ref="AO47">IF(ISERROR(MAX(IF($C$4:$C$40="M",AO$4:AO$40))),"",MAX(IF($C$4:$C$40="M",AO$4:AO$40)))</f>
        <v>0.21153846153846168</v>
      </c>
      <c r="AP47" s="244">
        <f t="array" aca="1" ref="AP47" ca="1">IF(ISERROR(MAX(IF($C$4:$C$40="M",AP$4:AP$40))),"",MAX(IF($C$4:$C$40="M",AP$4:AP$40)))</f>
        <v>5.6999999999999975</v>
      </c>
      <c r="AQ47" s="244">
        <f t="array" aca="1" ref="AQ47" ca="1">IF(ISERROR(MAX(IF($C$4:$C$40="M",AQ$4:AQ$40))),"",MAX(IF($C$4:$C$40="M",AQ$4:AQ$40)))</f>
        <v>5.8999999999999977</v>
      </c>
      <c r="AR47" s="244">
        <f t="array" aca="1" ref="AR47" ca="1">IF(ISERROR(MAX(IF($C$4:$C$40="M",AR$4:AR$40))),"",MAX(IF($C$4:$C$40="M",AR$4:AR$40)))</f>
        <v>5.8999999999999977</v>
      </c>
      <c r="AS47" s="249">
        <f t="array" aca="1" ref="AS47" ca="1">IF(ISERROR(MAX(IF($C$4:$C$40="M",AS$4:AS$40))),"",MAX(IF($C$4:$C$40="M",AS$4:AS$40)))</f>
        <v>4.75</v>
      </c>
      <c r="AT47" s="20"/>
      <c r="AU47" s="20"/>
      <c r="AV47" s="20"/>
      <c r="AW47" s="254" t="s">
        <v>112</v>
      </c>
      <c r="AX47" s="255">
        <f t="array" ref="AX47">IF(ISERROR(MAX(IF($C$4:$C$40="M",AX$4:AX$40))),"",MAX(IF($C$4:$C$40="M",AX$4:AX$40)))</f>
        <v>7.6</v>
      </c>
      <c r="AY47" s="245">
        <f t="array" ref="AY47">IF(ISERROR(MAX(IF($C$4:$C$40="M",AY$4:AY$40))),"",MAX(IF($C$4:$C$40="M",AY$4:AY$40)))</f>
        <v>6.6</v>
      </c>
      <c r="AZ47" s="249">
        <f t="array" ref="AZ47">IF(ISERROR(MAX(IF($C$4:$C$40="M",AZ$4:AZ$40))),"",MAX(IF($C$4:$C$40="M",AZ$4:AZ$40)))</f>
        <v>23.76</v>
      </c>
      <c r="BA47" s="249"/>
      <c r="BB47" s="258">
        <f t="array" ref="BB47">IF(ISERROR(MAX(IF($C$4:$C$40="M",BB$4:BB$40))),"",MAX(IF($C$4:$C$40="M",BB$4:BB$40)))</f>
        <v>8.1967213114754189E-2</v>
      </c>
      <c r="BC47" s="244">
        <f t="array" aca="1" ref="BC47" ca="1">IF(ISERROR(MAX(IF($C$4:$C$40="M",BC$4:BC$40))),"",MAX(IF($C$4:$C$40="M",BC$4:BC$40)))</f>
        <v>7.3000000000000016</v>
      </c>
      <c r="BD47" s="244">
        <f t="array" aca="1" ref="BD47" ca="1">IF(ISERROR(MAX(IF($C$4:$C$40="M",BD$4:BD$40))),"",MAX(IF($C$4:$C$40="M",BD$4:BD$40)))</f>
        <v>7.6000000000000014</v>
      </c>
      <c r="BE47" s="244">
        <f t="array" aca="1" ref="BE47" ca="1">IF(ISERROR(MAX(IF($C$4:$C$40="M",BE$4:BE$40))),"",MAX(IF($C$4:$C$40="M",BE$4:BE$40)))</f>
        <v>7.6000000000000014</v>
      </c>
      <c r="BF47" s="249">
        <f t="array" aca="1" ref="BF47" ca="1">IF(ISERROR(MAX(IF($C$4:$C$40="M",BF$4:BF$40))),"",MAX(IF($C$4:$C$40="M",BF$4:BF$40)))</f>
        <v>4.5</v>
      </c>
      <c r="BG47" s="20"/>
      <c r="BH47" s="20"/>
      <c r="BI47" s="20"/>
      <c r="BJ47" s="20"/>
      <c r="BK47" s="20"/>
      <c r="BL47" s="20"/>
    </row>
    <row r="48" spans="2:64" ht="16.5" customHeight="1">
      <c r="B48" s="20"/>
      <c r="C48" s="20"/>
      <c r="D48" s="20"/>
      <c r="E48" s="20"/>
      <c r="F48" s="20"/>
      <c r="G48" s="20"/>
      <c r="H48" s="77"/>
      <c r="I48" s="215"/>
      <c r="J48" s="250"/>
      <c r="K48" s="250"/>
      <c r="L48" s="236" t="s">
        <v>113</v>
      </c>
      <c r="M48" s="238">
        <f t="array" ref="M48">IF(ISERROR(MEDIAN(IF($C$4:$C$40="F",M$4:M$40))),"",MEDIAN(IF($C$4:$C$40="F",M$4:M$40)))</f>
        <v>2.5</v>
      </c>
      <c r="N48" s="238">
        <f t="array" ref="N48">IF(ISERROR(MEDIAN(IF($C$4:$C$40="F",N$4:N$40))),"",MEDIAN(IF($C$4:$C$40="F",N$4:N$40)))</f>
        <v>4</v>
      </c>
      <c r="O48" s="238">
        <f t="array" ref="O48">IF(ISERROR(MEDIAN(IF($C$4:$C$40="F",O$4:O$40))),"",MEDIAN(IF($C$4:$C$40="F",O$4:O$40)))</f>
        <v>14.4</v>
      </c>
      <c r="P48" s="233">
        <f t="array" ref="P48">IF(ISERROR(MEDIAN(IF($C$4:$C$40="F",P$4:P$40))),"",MEDIAN(IF($C$4:$C$40="F",P$4:P$40)))</f>
        <v>1.6</v>
      </c>
      <c r="Q48" s="238">
        <f t="array" aca="1" ref="Q48" ca="1">IF(ISERROR(MEDIAN(IF($C$4:$C$40="F",Q$4:Q$40))),"",MEDIAN(IF($C$4:$C$40="F",Q$4:Q$40)))</f>
        <v>2.4</v>
      </c>
      <c r="R48" s="236" t="s">
        <v>113</v>
      </c>
      <c r="S48" s="238">
        <f t="array" aca="1" ref="S48" ca="1">IF(ISERROR(MEDIAN(IF($C$4:$C$40="F",S$4:S$40))),"",MEDIAN(IF($C$4:$C$40="F",S$4:S$40)))</f>
        <v>2.6</v>
      </c>
      <c r="T48" s="238">
        <f t="array" aca="1" ref="T48" ca="1">IF(ISERROR(MEDIAN(IF($C$4:$C$40="F",T$4:T$40))),"",MEDIAN(IF($C$4:$C$40="F",T$4:T$40)))</f>
        <v>4</v>
      </c>
      <c r="U48" s="20"/>
      <c r="V48" s="20"/>
      <c r="W48" s="20"/>
      <c r="X48" s="242" t="s">
        <v>113</v>
      </c>
      <c r="Y48" s="233">
        <f t="array" ref="Y48">IF(ISERROR(MEDIAN(IF($C$4:$C$40="F",Y$4:Y$40))),"",MEDIAN(IF($C$4:$C$40="F",Y$4:Y$40)))</f>
        <v>3.4</v>
      </c>
      <c r="Z48" s="233">
        <f t="array" ref="Z48">IF(ISERROR(MEDIAN(IF($C$4:$C$40="F",Z$4:Z$40))),"",MEDIAN(IF($C$4:$C$40="F",Z$4:Z$40)))</f>
        <v>4.4000000000000004</v>
      </c>
      <c r="AA48" s="233">
        <f t="array" ref="AA48">IF(ISERROR(MEDIAN(IF($C$4:$C$40="F",AA$4:AA$40))),"",MEDIAN(IF($C$4:$C$40="F",AA$4:AA$40)))</f>
        <v>15.840000000000002</v>
      </c>
      <c r="AB48" s="233">
        <f t="array" ref="AB48">IF(ISERROR(MEDIAN(IF($C$4:$C$40="F",AB$4:AB$40))),"",MEDIAN(IF($C$4:$C$40="F",AB$4:AB$40)))</f>
        <v>0.55555555555555558</v>
      </c>
      <c r="AC48" s="233">
        <f t="array" aca="1" ref="AC48" ca="1">IF(ISERROR(MEDIAN(IF($C$4:$C$40="F",AC$4:AC$40))),"",MEDIAN(IF($C$4:$C$40="F",AC$4:AC$40)))</f>
        <v>3.2</v>
      </c>
      <c r="AD48" s="242" t="s">
        <v>113</v>
      </c>
      <c r="AE48" s="233">
        <f t="array" aca="1" ref="AE48" ca="1">IF(ISERROR(MEDIAN(IF($C$4:$C$40="F",AE$4:AE$40))),"",MEDIAN(IF($C$4:$C$40="F",AE$4:AE$40)))</f>
        <v>3.4000000000000004</v>
      </c>
      <c r="AF48" s="233">
        <f t="array" aca="1" ref="AF48" ca="1">IF(ISERROR(MEDIAN(IF($C$4:$C$40="F",AF$4:AF$40))),"",MEDIAN(IF($C$4:$C$40="F",AF$4:AF$40)))</f>
        <v>4</v>
      </c>
      <c r="AG48" s="20"/>
      <c r="AH48" s="20"/>
      <c r="AI48" s="20"/>
      <c r="AJ48" s="242" t="s">
        <v>113</v>
      </c>
      <c r="AK48" s="233">
        <f t="array" ref="AK48">IF(ISERROR(MEDIAN(IF($C$4:$C$40="F",AK$4:AK$40))),"",MEDIAN(IF($C$4:$C$40="F",AK$4:AK$40)))</f>
        <v>5.8000000000000007</v>
      </c>
      <c r="AL48" s="233">
        <f t="array" ref="AL48">IF(ISERROR(MEDIAN(IF($C$4:$C$40="F",AL$4:AL$40))),"",MEDIAN(IF($C$4:$C$40="F",AL$4:AL$40)))</f>
        <v>5.1999999999999993</v>
      </c>
      <c r="AM48" s="233">
        <f t="array" ref="AM48">IF(ISERROR(MEDIAN(IF($C$4:$C$40="F",AM$4:AM$40))),"",MEDIAN(IF($C$4:$C$40="F",AM$4:AM$40)))</f>
        <v>18.72</v>
      </c>
      <c r="AN48" s="233">
        <f t="array" ref="AN48">IF(ISERROR(MEDIAN(IF($C$4:$C$40="F",AN$4:AN$40))),"",MEDIAN(IF($C$4:$C$40="F",AN$4:AN$40)))</f>
        <v>0.30666666666666642</v>
      </c>
      <c r="AO48" s="246">
        <f t="array" ref="AO48">IF(ISERROR(MEDIAN(IF($C$4:$C$40="F",AO$4:AO$40))),"",MEDIAN(IF($C$4:$C$40="F",AO$4:AO$40)))</f>
        <v>0.16843434343434338</v>
      </c>
      <c r="AP48" s="233">
        <f t="array" aca="1" ref="AP48" ca="1">IF(ISERROR(MEDIAN(IF($C$4:$C$40="F",AP$4:AP$40))),"",MEDIAN(IF($C$4:$C$40="F",AP$4:AP$40)))</f>
        <v>5.7999999999999989</v>
      </c>
      <c r="AQ48" s="233">
        <f t="array" aca="1" ref="AQ48" ca="1">IF(ISERROR(MEDIAN(IF($C$4:$C$40="F",AQ$4:AQ$40))),"",MEDIAN(IF($C$4:$C$40="F",AQ$4:AQ$40)))</f>
        <v>5.9499999999999993</v>
      </c>
      <c r="AR48" s="233">
        <f t="array" aca="1" ref="AR48" ca="1">IF(ISERROR(MEDIAN(IF($C$4:$C$40="F",AR$4:AR$40))),"",MEDIAN(IF($C$4:$C$40="F",AR$4:AR$40)))</f>
        <v>5.7999999999999989</v>
      </c>
      <c r="AS48" s="233">
        <f t="array" aca="1" ref="AS48" ca="1">IF(ISERROR(MEDIAN(IF($C$4:$C$40="F",AS$4:AS$40))),"",MEDIAN(IF($C$4:$C$40="F",AS$4:AS$40)))</f>
        <v>4.375</v>
      </c>
      <c r="AT48" s="20"/>
      <c r="AU48" s="20"/>
      <c r="AV48" s="20"/>
      <c r="AW48" s="242" t="s">
        <v>113</v>
      </c>
      <c r="AX48" s="233">
        <f t="array" ref="AX48">IF(ISERROR(MEDIAN(IF($C$4:$C$40="F",AX$4:AX$40))),"",MEDIAN(IF($C$4:$C$40="F",AX$4:AX$40)))</f>
        <v>7.5</v>
      </c>
      <c r="AY48" s="233">
        <f t="array" ref="AY48">IF(ISERROR(MEDIAN(IF($C$4:$C$40="F",AY$4:AY$40))),"",MEDIAN(IF($C$4:$C$40="F",AY$4:AY$40)))</f>
        <v>5.35</v>
      </c>
      <c r="AZ48" s="233">
        <f t="array" ref="AZ48">IF(ISERROR(MEDIAN(IF($C$4:$C$40="F",AZ$4:AZ$40))),"",MEDIAN(IF($C$4:$C$40="F",AZ$4:AZ$40)))</f>
        <v>19.259999999999998</v>
      </c>
      <c r="BA48" s="233"/>
      <c r="BB48" s="247">
        <f t="array" ref="BB48">IF(ISERROR(MEDIAN(IF($C$4:$C$40="F",BB$4:BB$40))),"",MEDIAN(IF($C$4:$C$40="F",BB$4:BB$40)))</f>
        <v>3.6725067385444787E-2</v>
      </c>
      <c r="BC48" s="242" t="s">
        <v>113</v>
      </c>
      <c r="BD48" s="244">
        <f t="array" aca="1" ref="BD48" ca="1">IF(ISERROR(MEDIAN(IF($C$4:$C$40="F",BD$4:BD$40))),"",MEDIAN(IF($C$4:$C$40="F",BD$4:BD$40)))</f>
        <v>7.6000000000000005</v>
      </c>
      <c r="BE48" s="244">
        <f t="array" aca="1" ref="BE48" ca="1">IF(ISERROR(MEDIAN(IF($C$4:$C$40="F",BE$4:BE$40))),"",MEDIAN(IF($C$4:$C$40="F",BE$4:BE$40)))</f>
        <v>7.5</v>
      </c>
      <c r="BF48" s="233">
        <f t="array" aca="1" ref="BF48" ca="1">IF(ISERROR(MEDIAN(IF($C$4:$C$40="F",BF$4:BF$40))),"",MEDIAN(IF($C$4:$C$40="F",BF$4:BF$40)))</f>
        <v>3.875</v>
      </c>
      <c r="BG48" s="20"/>
      <c r="BH48" s="20"/>
      <c r="BI48" s="20"/>
      <c r="BJ48" s="20"/>
      <c r="BK48" s="20"/>
      <c r="BL48" s="20"/>
    </row>
    <row r="49" spans="2:64" ht="16.5" customHeight="1">
      <c r="B49" s="20"/>
      <c r="C49" s="20"/>
      <c r="D49" s="20"/>
      <c r="E49" s="20"/>
      <c r="F49" s="20"/>
      <c r="G49" s="20"/>
      <c r="H49" s="77"/>
      <c r="I49" s="215"/>
      <c r="J49" s="250"/>
      <c r="K49" s="250"/>
      <c r="L49" s="251" t="s">
        <v>114</v>
      </c>
      <c r="M49" s="253">
        <f t="array" ref="M49">IF(ISERROR(MEDIAN(IF($C$4:$C$40="M",M$4:M$40))),"",MEDIAN(IF($C$4:$C$40="M",M$4:M$40)))</f>
        <v>2.2000000000000002</v>
      </c>
      <c r="N49" s="253">
        <f t="array" ref="N49">IF(ISERROR(MEDIAN(IF($C$4:$C$40="M",N$4:N$40))),"",MEDIAN(IF($C$4:$C$40="M",N$4:N$40)))</f>
        <v>4.5</v>
      </c>
      <c r="O49" s="253">
        <f t="array" ref="O49">IF(ISERROR(MEDIAN(IF($C$4:$C$40="M",O$4:O$40))),"",MEDIAN(IF($C$4:$C$40="M",O$4:O$40)))</f>
        <v>16.2</v>
      </c>
      <c r="P49" s="249">
        <f t="array" ref="P49">IF(ISERROR(MEDIAN(IF($C$4:$C$40="M",P$4:P$40))),"",MEDIAN(IF($C$4:$C$40="M",P$4:P$40)))</f>
        <v>2.0454545454545454</v>
      </c>
      <c r="Q49" s="253">
        <f t="array" aca="1" ref="Q49" ca="1">IF(ISERROR(MEDIAN(IF($C$4:$C$40="M",Q$4:Q$40))),"",MEDIAN(IF($C$4:$C$40="M",Q$4:Q$40)))</f>
        <v>2.1</v>
      </c>
      <c r="R49" s="251" t="s">
        <v>114</v>
      </c>
      <c r="S49" s="253">
        <f t="array" aca="1" ref="S49" ca="1">IF(ISERROR(MEDIAN(IF($C$4:$C$40="M",S$4:S$40))),"",MEDIAN(IF($C$4:$C$40="M",S$4:S$40)))</f>
        <v>2.3000000000000003</v>
      </c>
      <c r="T49" s="253">
        <f t="array" aca="1" ref="T49" ca="1">IF(ISERROR(MEDIAN(IF($C$4:$C$40="M",T$4:T$40))),"",MEDIAN(IF($C$4:$C$40="M",T$4:T$40)))</f>
        <v>3</v>
      </c>
      <c r="U49" s="20"/>
      <c r="V49" s="20"/>
      <c r="W49" s="20"/>
      <c r="X49" s="254" t="s">
        <v>114</v>
      </c>
      <c r="Y49" s="249">
        <f t="array" ref="Y49">IF(ISERROR(MEDIAN(IF($C$4:$C$40="M",Y$4:Y$40))),"",MEDIAN(IF($C$4:$C$40="M",Y$4:Y$40)))</f>
        <v>3</v>
      </c>
      <c r="Z49" s="249">
        <f t="array" ref="Z49">IF(ISERROR(MEDIAN(IF($C$4:$C$40="M",Z$4:Z$40))),"",MEDIAN(IF($C$4:$C$40="M",Z$4:Z$40)))</f>
        <v>5</v>
      </c>
      <c r="AA49" s="249">
        <f t="array" ref="AA49">IF(ISERROR(MEDIAN(IF($C$4:$C$40="M",AA$4:AA$40))),"",MEDIAN(IF($C$4:$C$40="M",AA$4:AA$40)))</f>
        <v>18</v>
      </c>
      <c r="AB49" s="249">
        <f t="array" ref="AB49">IF(ISERROR(MEDIAN(IF($C$4:$C$40="M",AB$4:AB$40))),"",MEDIAN(IF($C$4:$C$40="M",AB$4:AB$40)))</f>
        <v>0.62500000000000011</v>
      </c>
      <c r="AC49" s="249">
        <f t="array" aca="1" ref="AC49" ca="1">IF(ISERROR(MEDIAN(IF($C$4:$C$40="M",AC$4:AC$40))),"",MEDIAN(IF($C$4:$C$40="M",AC$4:AC$40)))</f>
        <v>3</v>
      </c>
      <c r="AD49" s="254" t="s">
        <v>114</v>
      </c>
      <c r="AE49" s="249">
        <f t="array" aca="1" ref="AE49" ca="1">IF(ISERROR(MEDIAN(IF($C$4:$C$40="M",AE$4:AE$40))),"",MEDIAN(IF($C$4:$C$40="M",AE$4:AE$40)))</f>
        <v>3</v>
      </c>
      <c r="AF49" s="249">
        <f t="array" aca="1" ref="AF49" ca="1">IF(ISERROR(MEDIAN(IF($C$4:$C$40="M",AF$4:AF$40))),"",MEDIAN(IF($C$4:$C$40="M",AF$4:AF$40)))</f>
        <v>4</v>
      </c>
      <c r="AG49" s="20"/>
      <c r="AH49" s="20"/>
      <c r="AI49" s="20"/>
      <c r="AJ49" s="254" t="s">
        <v>114</v>
      </c>
      <c r="AK49" s="249">
        <f t="array" ref="AK49">IF(ISERROR(MEDIAN(IF($C$4:$C$40="M",AK$4:AK$40))),"",MEDIAN(IF($C$4:$C$40="M",AK$4:AK$40)))</f>
        <v>5.0999999999999996</v>
      </c>
      <c r="AL49" s="249">
        <f t="array" ref="AL49">IF(ISERROR(MEDIAN(IF($C$4:$C$40="M",AL$4:AL$40))),"",MEDIAN(IF($C$4:$C$40="M",AL$4:AL$40)))</f>
        <v>5.9</v>
      </c>
      <c r="AM49" s="249">
        <f t="array" ref="AM49">IF(ISERROR(MEDIAN(IF($C$4:$C$40="M",AM$4:AM$40))),"",MEDIAN(IF($C$4:$C$40="M",AM$4:AM$40)))</f>
        <v>21.24</v>
      </c>
      <c r="AN49" s="249">
        <f t="array" ref="AN49">IF(ISERROR(MEDIAN(IF($C$4:$C$40="M",AN$4:AN$40))),"",MEDIAN(IF($C$4:$C$40="M",AN$4:AN$40)))</f>
        <v>0.42857142857142883</v>
      </c>
      <c r="AO49" s="256">
        <f t="array" ref="AO49">IF(ISERROR(MEDIAN(IF($C$4:$C$40="M",AO$4:AO$40))),"",MEDIAN(IF($C$4:$C$40="M",AO$4:AO$40)))</f>
        <v>0.17307692307692313</v>
      </c>
      <c r="AP49" s="249">
        <f t="array" aca="1" ref="AP49" ca="1">IF(ISERROR(MEDIAN(IF($C$4:$C$40="M",AP$4:AP$40))),"",MEDIAN(IF($C$4:$C$40="M",AP$4:AP$40)))</f>
        <v>5.0999999999999988</v>
      </c>
      <c r="AQ49" s="249">
        <f t="array" aca="1" ref="AQ49" ca="1">IF(ISERROR(MEDIAN(IF($C$4:$C$40="M",AQ$4:AQ$40))),"",MEDIAN(IF($C$4:$C$40="M",AQ$4:AQ$40)))</f>
        <v>5.1999999999999984</v>
      </c>
      <c r="AR49" s="249">
        <f t="array" aca="1" ref="AR49" ca="1">IF(ISERROR(MEDIAN(IF($C$4:$C$40="M",AR$4:AR$40))),"",MEDIAN(IF($C$4:$C$40="M",AR$4:AR$40)))</f>
        <v>5.0999999999999988</v>
      </c>
      <c r="AS49" s="249">
        <f t="array" aca="1" ref="AS49" ca="1">IF(ISERROR(MEDIAN(IF($C$4:$C$40="M",AS$4:AS$40))),"",MEDIAN(IF($C$4:$C$40="M",AS$4:AS$40)))</f>
        <v>4</v>
      </c>
      <c r="AT49" s="20"/>
      <c r="AU49" s="20"/>
      <c r="AV49" s="20"/>
      <c r="AW49" s="254" t="s">
        <v>114</v>
      </c>
      <c r="AX49" s="249">
        <f t="array" ref="AX49">IF(ISERROR(MEDIAN(IF($C$4:$C$40="M",AX$4:AX$40))),"",MEDIAN(IF($C$4:$C$40="M",AX$4:AX$40)))</f>
        <v>6.5</v>
      </c>
      <c r="AY49" s="249">
        <f t="array" ref="AY49">IF(ISERROR(MEDIAN(IF($C$4:$C$40="M",AY$4:AY$40))),"",MEDIAN(IF($C$4:$C$40="M",AY$4:AY$40)))</f>
        <v>6.2</v>
      </c>
      <c r="AZ49" s="249">
        <f t="array" ref="AZ49">IF(ISERROR(MEDIAN(IF($C$4:$C$40="M",AZ$4:AZ$40))),"",MEDIAN(IF($C$4:$C$40="M",AZ$4:AZ$40)))</f>
        <v>22.32</v>
      </c>
      <c r="BA49" s="249"/>
      <c r="BB49" s="258">
        <f t="array" ref="BB49">IF(ISERROR(MEDIAN(IF($C$4:$C$40="M",BB$4:BB$40))),"",MEDIAN(IF($C$4:$C$40="M",BB$4:BB$40)))</f>
        <v>4.7619047619047672E-2</v>
      </c>
      <c r="BC49" s="254" t="s">
        <v>114</v>
      </c>
      <c r="BD49" s="244">
        <f t="array" aca="1" ref="BD49" ca="1">IF(ISERROR(MEDIAN(IF($C$4:$C$40="M",BD$4:BD$40))),"",MEDIAN(IF($C$4:$C$40="M",BD$4:BD$40)))</f>
        <v>6.5000000000000009</v>
      </c>
      <c r="BE49" s="244">
        <f t="array" aca="1" ref="BE49" ca="1">IF(ISERROR(MEDIAN(IF($C$4:$C$40="M",BE$4:BE$40))),"",MEDIAN(IF($C$4:$C$40="M",BE$4:BE$40)))</f>
        <v>6.5000000000000009</v>
      </c>
      <c r="BF49" s="249">
        <f t="array" aca="1" ref="BF49" ca="1">IF(ISERROR(MEDIAN(IF($C$4:$C$40="M",BF$4:BF$40))),"",MEDIAN(IF($C$4:$C$40="M",BF$4:BF$40)))</f>
        <v>4</v>
      </c>
      <c r="BG49" s="20"/>
      <c r="BH49" s="20"/>
      <c r="BI49" s="20"/>
      <c r="BJ49" s="20"/>
      <c r="BK49" s="20"/>
      <c r="BL49" s="20"/>
    </row>
    <row r="50" spans="2:64" ht="16.5" customHeight="1"/>
  </sheetData>
  <sheetProtection sheet="1" objects="1" scenarios="1" formatColumns="0" selectLockedCells="1"/>
  <mergeCells count="10">
    <mergeCell ref="AG1:AS1"/>
    <mergeCell ref="BG2:BI2"/>
    <mergeCell ref="BJ2:BL2"/>
    <mergeCell ref="B3:C3"/>
    <mergeCell ref="B2:C2"/>
    <mergeCell ref="D2:H2"/>
    <mergeCell ref="I2:T2"/>
    <mergeCell ref="U2:AF2"/>
    <mergeCell ref="AG2:AS2"/>
    <mergeCell ref="AT2:BF2"/>
  </mergeCells>
  <dataValidations count="1">
    <dataValidation type="list" allowBlank="1" showInputMessage="1" showErrorMessage="1" sqref="AK3" xr:uid="{29E6E91A-E3E4-4F55-89FA-A94A37AA7E18}">
      <formula1>"Moy.,Mini."</formula1>
    </dataValidation>
  </dataValidation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3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18015B5B-8154-4074-A4BA-EDD9B5616D8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C42</xm:sqref>
        </x14:conditionalFormatting>
        <x14:conditionalFormatting xmlns:xm="http://schemas.microsoft.com/office/excel/2006/main">
          <x14:cfRule type="iconSet" priority="3" id="{FE96F6AA-75FA-40AF-BE61-54E5EB646B26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C43</xm:sqref>
        </x14:conditionalFormatting>
        <x14:conditionalFormatting xmlns:xm="http://schemas.microsoft.com/office/excel/2006/main">
          <x14:cfRule type="iconSet" priority="2" id="{4B7AAB36-DF4D-4E17-9E07-F2D4F057D328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C44</xm:sqref>
        </x14:conditionalFormatting>
        <x14:conditionalFormatting xmlns:xm="http://schemas.microsoft.com/office/excel/2006/main">
          <x14:cfRule type="iconSet" priority="1" id="{0103208B-6FE1-4EA1-B932-450E56B30C45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D4:D40</xm:sqref>
        </x14:conditionalFormatting>
        <x14:conditionalFormatting xmlns:xm="http://schemas.microsoft.com/office/excel/2006/main">
          <x14:cfRule type="iconSet" priority="5" id="{6BF3D16D-71BD-4CF0-83D4-87EF352A57FC}">
            <x14:iconSet iconSet="3Symbols2" showValue="0" custom="1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E4:G40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11CA2-8EDF-4BCD-A210-777BC1CCD0ED}">
  <sheetPr>
    <pageSetUpPr fitToPage="1"/>
  </sheetPr>
  <dimension ref="A1:BB43"/>
  <sheetViews>
    <sheetView zoomScale="70" zoomScaleNormal="70" workbookViewId="0">
      <pane xSplit="23" ySplit="3" topLeftCell="X4" activePane="bottomRight" state="frozen"/>
      <selection activeCell="L1" sqref="L1"/>
      <selection pane="topRight" activeCell="N1" sqref="N1"/>
      <selection pane="bottomLeft" activeCell="L4" sqref="L4"/>
      <selection pane="bottomRight" activeCell="U1" sqref="A1:U1048576"/>
    </sheetView>
  </sheetViews>
  <sheetFormatPr baseColWidth="10" defaultColWidth="0" defaultRowHeight="15" zeroHeight="1"/>
  <cols>
    <col min="1" max="3" width="11.42578125" style="24" hidden="1" customWidth="1"/>
    <col min="4" max="4" width="5" style="24" hidden="1" customWidth="1"/>
    <col min="5" max="5" width="27.140625" style="24" hidden="1" customWidth="1"/>
    <col min="6" max="6" width="2.85546875" style="24" hidden="1" customWidth="1"/>
    <col min="7" max="7" width="7.85546875" style="24" hidden="1" customWidth="1"/>
    <col min="8" max="8" width="12.5703125" style="24" hidden="1" customWidth="1"/>
    <col min="9" max="9" width="7.85546875" style="24" hidden="1" customWidth="1"/>
    <col min="10" max="10" width="11.7109375" style="24" hidden="1" customWidth="1"/>
    <col min="11" max="11" width="3.28515625" style="298" hidden="1" customWidth="1"/>
    <col min="12" max="12" width="27.140625" style="24" hidden="1" customWidth="1"/>
    <col min="13" max="15" width="5.7109375" style="24" hidden="1" customWidth="1"/>
    <col min="16" max="16" width="9.140625" style="24" hidden="1" customWidth="1"/>
    <col min="17" max="17" width="6.7109375" style="24" hidden="1" customWidth="1"/>
    <col min="18" max="18" width="8.5703125" style="24" hidden="1" customWidth="1"/>
    <col min="19" max="19" width="7.7109375" style="24" hidden="1" customWidth="1"/>
    <col min="20" max="20" width="8.5703125" style="24" hidden="1" customWidth="1"/>
    <col min="21" max="21" width="9.7109375" style="24" hidden="1" customWidth="1"/>
    <col min="22" max="22" width="2.28515625" style="82" customWidth="1"/>
    <col min="23" max="23" width="5.42578125" style="24" customWidth="1"/>
    <col min="24" max="24" width="37.85546875" style="24" customWidth="1"/>
    <col min="25" max="25" width="9.42578125" style="24" customWidth="1"/>
    <col min="26" max="26" width="10.5703125" style="24" customWidth="1"/>
    <col min="27" max="27" width="8.85546875" style="24" customWidth="1"/>
    <col min="28" max="28" width="9.85546875" style="24" customWidth="1"/>
    <col min="29" max="29" width="5.5703125" style="298" hidden="1" customWidth="1"/>
    <col min="30" max="30" width="26" style="24" hidden="1" customWidth="1"/>
    <col min="31" max="33" width="5.7109375" style="24" hidden="1" customWidth="1"/>
    <col min="34" max="34" width="9.140625" style="24" hidden="1" customWidth="1"/>
    <col min="35" max="37" width="6.7109375" style="24" hidden="1" customWidth="1"/>
    <col min="38" max="38" width="8.5703125" style="24" hidden="1" customWidth="1"/>
    <col min="39" max="39" width="5.42578125" style="24" hidden="1" customWidth="1"/>
    <col min="40" max="40" width="5.42578125" style="82" customWidth="1"/>
    <col min="41" max="41" width="5.42578125" style="24" customWidth="1"/>
    <col min="42" max="42" width="37.7109375" style="24" customWidth="1"/>
    <col min="43" max="43" width="7.85546875" style="24" bestFit="1" customWidth="1"/>
    <col min="44" max="44" width="10.140625" style="24" bestFit="1" customWidth="1"/>
    <col min="45" max="45" width="8.85546875" style="24" customWidth="1"/>
    <col min="46" max="46" width="12.140625" style="24" customWidth="1"/>
    <col min="47" max="47" width="5.42578125" style="82" customWidth="1"/>
    <col min="48" max="48" width="5.5703125" style="24" customWidth="1"/>
    <col min="49" max="49" width="37.85546875" style="24" customWidth="1"/>
    <col min="50" max="50" width="8.85546875" style="24" bestFit="1" customWidth="1"/>
    <col min="51" max="51" width="11.7109375" style="24" customWidth="1"/>
    <col min="52" max="52" width="7.85546875" style="24" bestFit="1" customWidth="1"/>
    <col min="53" max="53" width="12.140625" style="24" customWidth="1"/>
    <col min="54" max="54" width="11.42578125" style="24" customWidth="1"/>
    <col min="55" max="16384" width="11.42578125" style="24" hidden="1"/>
  </cols>
  <sheetData>
    <row r="1" spans="1:53" ht="15.75" thickBot="1"/>
    <row r="2" spans="1:53" ht="15.75" thickBot="1">
      <c r="D2" s="20"/>
      <c r="E2" s="20"/>
      <c r="F2" s="20"/>
      <c r="G2" s="680">
        <v>10</v>
      </c>
      <c r="H2" s="681"/>
      <c r="I2" s="680">
        <v>15</v>
      </c>
      <c r="J2" s="681"/>
      <c r="K2" s="38"/>
      <c r="L2" s="20"/>
      <c r="M2" s="20"/>
      <c r="N2" s="20"/>
      <c r="O2" s="20"/>
      <c r="P2" s="20"/>
      <c r="Q2" s="20"/>
      <c r="R2" s="20"/>
      <c r="S2" s="20"/>
      <c r="T2" s="20"/>
      <c r="U2" s="20"/>
      <c r="V2" s="257"/>
      <c r="W2" s="20"/>
      <c r="X2" s="682" t="s">
        <v>216</v>
      </c>
      <c r="Y2" s="508"/>
      <c r="Z2" s="508"/>
      <c r="AA2" s="20"/>
      <c r="AB2" s="20"/>
      <c r="AC2" s="38"/>
      <c r="AD2" s="264"/>
      <c r="AE2" s="20"/>
      <c r="AF2" s="20"/>
      <c r="AG2" s="20"/>
      <c r="AH2" s="20"/>
      <c r="AI2" s="20"/>
      <c r="AJ2" s="20"/>
      <c r="AK2" s="20"/>
      <c r="AL2" s="20"/>
      <c r="AM2" s="20"/>
      <c r="AN2" s="257"/>
      <c r="AO2" s="20"/>
      <c r="AP2" s="682" t="s">
        <v>217</v>
      </c>
      <c r="AQ2" s="508"/>
      <c r="AR2" s="508"/>
      <c r="AS2" s="20"/>
      <c r="AT2" s="20"/>
      <c r="AU2" s="257"/>
      <c r="AV2" s="20"/>
      <c r="AW2" s="682" t="s">
        <v>218</v>
      </c>
      <c r="AX2" s="508"/>
      <c r="AY2" s="508"/>
      <c r="AZ2" s="20"/>
      <c r="BA2" s="20"/>
    </row>
    <row r="3" spans="1:53" ht="14.25" customHeight="1" thickBot="1">
      <c r="A3" s="507" t="s">
        <v>223</v>
      </c>
      <c r="B3" s="507" t="s">
        <v>192</v>
      </c>
      <c r="C3" s="507"/>
      <c r="D3" s="507" t="s">
        <v>115</v>
      </c>
      <c r="E3" s="266" t="s">
        <v>88</v>
      </c>
      <c r="F3" s="267"/>
      <c r="G3" s="268" t="s">
        <v>93</v>
      </c>
      <c r="H3" s="269" t="s">
        <v>116</v>
      </c>
      <c r="I3" s="268" t="s">
        <v>93</v>
      </c>
      <c r="J3" s="269" t="s">
        <v>116</v>
      </c>
      <c r="K3" s="507"/>
      <c r="L3" s="265" t="s">
        <v>88</v>
      </c>
      <c r="M3" s="265" t="s">
        <v>117</v>
      </c>
      <c r="N3" s="268" t="s">
        <v>191</v>
      </c>
      <c r="O3" s="269" t="s">
        <v>116</v>
      </c>
      <c r="P3" s="268" t="s">
        <v>118</v>
      </c>
      <c r="Q3" s="269" t="s">
        <v>116</v>
      </c>
      <c r="R3" s="271" t="s">
        <v>192</v>
      </c>
      <c r="S3" s="271" t="s">
        <v>193</v>
      </c>
      <c r="T3" s="303" t="s">
        <v>194</v>
      </c>
      <c r="U3" s="271" t="s">
        <v>119</v>
      </c>
      <c r="V3" s="272"/>
      <c r="W3" s="273"/>
      <c r="X3" s="683"/>
      <c r="Y3" s="106" t="s">
        <v>191</v>
      </c>
      <c r="Z3" s="274" t="s">
        <v>116</v>
      </c>
      <c r="AA3" s="274" t="s">
        <v>118</v>
      </c>
      <c r="AB3" s="275" t="s">
        <v>116</v>
      </c>
      <c r="AC3" s="507"/>
      <c r="AD3" s="265" t="s">
        <v>88</v>
      </c>
      <c r="AE3" s="265" t="s">
        <v>117</v>
      </c>
      <c r="AF3" s="268" t="s">
        <v>191</v>
      </c>
      <c r="AG3" s="269" t="s">
        <v>116</v>
      </c>
      <c r="AH3" s="268" t="s">
        <v>118</v>
      </c>
      <c r="AI3" s="269" t="s">
        <v>116</v>
      </c>
      <c r="AJ3" s="271" t="s">
        <v>192</v>
      </c>
      <c r="AK3" s="271" t="s">
        <v>193</v>
      </c>
      <c r="AL3" s="303" t="s">
        <v>194</v>
      </c>
      <c r="AM3" s="271" t="s">
        <v>119</v>
      </c>
      <c r="AN3" s="272"/>
      <c r="AO3" s="273"/>
      <c r="AP3" s="683"/>
      <c r="AQ3" s="306" t="s">
        <v>191</v>
      </c>
      <c r="AR3" s="276" t="s">
        <v>116</v>
      </c>
      <c r="AS3" s="276" t="s">
        <v>118</v>
      </c>
      <c r="AT3" s="277" t="s">
        <v>116</v>
      </c>
      <c r="AU3" s="273"/>
      <c r="AV3" s="273"/>
      <c r="AW3" s="683"/>
      <c r="AX3" s="106" t="s">
        <v>191</v>
      </c>
      <c r="AY3" s="274" t="s">
        <v>116</v>
      </c>
      <c r="AZ3" s="274" t="s">
        <v>118</v>
      </c>
      <c r="BA3" s="275" t="s">
        <v>116</v>
      </c>
    </row>
    <row r="4" spans="1:53" s="116" customFormat="1" ht="24" customHeight="1">
      <c r="A4" s="38">
        <f>IF(E4&lt;&gt;"",SUMPRODUCT(--(I4&gt;$I$4:$I$40))+COUNTIF($I$4:I4,I4),"")</f>
        <v>20</v>
      </c>
      <c r="B4" s="38">
        <f>IF(E4&lt;&gt;"",SUMPRODUCT(--(G4&gt;$G$4:$G$40))+COUNTIF($G$4:G4,G4),"")</f>
        <v>20</v>
      </c>
      <c r="C4" s="506">
        <f>IF(E4&lt;&gt;"",IF(COUNT(A4,B4)=2,3*A4+B4,100),"")</f>
        <v>80</v>
      </c>
      <c r="D4" s="38">
        <f>IF(E4&lt;&gt;"",COUNTIFS(I:I,"&lt;"&amp;I4)+COUNTIF($I$4:I4,I4),"")</f>
        <v>21</v>
      </c>
      <c r="E4" s="278" t="str">
        <f>IF(Liste!B3&lt;&gt;"",Liste!B3,"")</f>
        <v>A</v>
      </c>
      <c r="F4" s="279" t="str">
        <f>IF(Liste!C3&lt;&gt;"",Liste!C3,"")</f>
        <v>F</v>
      </c>
      <c r="G4" s="280">
        <f>IF(E4&lt;&gt;"",IF(Perf.Sprint!$M4&lt;&gt;"",Perf.Sprint!$M4,100),"")</f>
        <v>100</v>
      </c>
      <c r="H4" s="281">
        <f>IF(E4&lt;&gt;"",IF(Perf.Sprint!$O4&lt;&gt;"",Perf.Sprint!$O4,100),"")</f>
        <v>100</v>
      </c>
      <c r="I4" s="280">
        <f>IF(E4&lt;&gt;"",IF(Perf.Sprint!$Y4&lt;&gt;"",Perf.Sprint!$Y4,100),"")</f>
        <v>100</v>
      </c>
      <c r="J4" s="281">
        <f>IF(E4&lt;&gt;"",IF(Perf.Sprint!$AA4&lt;&gt;"",Perf.Sprint!$AA4,100),"")</f>
        <v>100</v>
      </c>
      <c r="K4" s="38">
        <v>1</v>
      </c>
      <c r="L4" s="20" t="str">
        <f t="array" ref="L4">IF(ROWS($2:2)&lt;=COUNTIF($F$4:$F$40,"F"),INDEX($E$4:$E$40,SMALL(IF($F$4:$F$40="F",MATCH($E$4:$E$40,$E$4:$E$40,0)),ROWS($2:2))),"")</f>
        <v>A</v>
      </c>
      <c r="M4" s="38" t="str">
        <f t="shared" ref="M4:M40" si="0">INDEX($F$4:$F$40,MATCH($L4,$E$4:$E$40,0))</f>
        <v>F</v>
      </c>
      <c r="N4" s="38">
        <f t="shared" ref="N4:N40" si="1">INDEX($G$4:$G$40,MATCH($L4,$E$4:$E$40,0))</f>
        <v>100</v>
      </c>
      <c r="O4" s="38">
        <f>INDEX($H$4:$H$40,MATCH($L4,$E$4:$E$40,0))</f>
        <v>100</v>
      </c>
      <c r="P4" s="38">
        <f t="shared" ref="P4:P40" si="2">INDEX($I$4:$I$40,MATCH($L4,$E$4:$E$40,0))</f>
        <v>100</v>
      </c>
      <c r="Q4" s="38">
        <f>INDEX($J$4:$J$40,MATCH($L4,$E$4:$E$40,0))</f>
        <v>100</v>
      </c>
      <c r="R4" s="38">
        <f>IF(L4&lt;&gt;"",SUMPRODUCT(--(N4&gt;$N$4:$N$40))+COUNTIF($N$4:N4,N4),"")</f>
        <v>11</v>
      </c>
      <c r="S4" s="38">
        <f>IF(L4&lt;&gt;"",SUMPRODUCT(--(P4&gt;$P$4:$P$40))+COUNTIF($P$4:P4,P4),"")</f>
        <v>11</v>
      </c>
      <c r="T4" s="307">
        <f>IF(L4&lt;&gt;"",IF(COUNT(R4,S4)=2,R4+S4,100),"")</f>
        <v>22</v>
      </c>
      <c r="U4" s="38">
        <f>IF(S4&lt;&gt;"",SUMPRODUCT(--(S4&gt;$S$4:$S$40))+COUNTIF(S$4:$S4,S4),"")</f>
        <v>11</v>
      </c>
      <c r="V4" s="282"/>
      <c r="W4" s="526">
        <f>IFERROR(SMALL($U$4:$U$40,$K4),"")</f>
        <v>1</v>
      </c>
      <c r="X4" s="531" t="str">
        <f>INDEX($L$4:$L$40,MATCH($W$4:$W$40,$S$4:$S$40,0))</f>
        <v>M</v>
      </c>
      <c r="Y4" s="521">
        <f>IF(INDEX($N$4:$N$40,MATCH($X4,$L$4:$L$40,0))="100","",INDEX($N$4:$N$40,MATCH($X4,$L$4:$L$40,0)))</f>
        <v>2.4</v>
      </c>
      <c r="Z4" s="522">
        <f>IF(Y4=100,"",INDEX($O$4:$O$40,MATCH($X4,$L$4:$L$40,0)))</f>
        <v>15.12</v>
      </c>
      <c r="AA4" s="521">
        <f>IF(INDEX($P$4:$P$40,MATCH($X4,$L$4:$L$40,0))="100","",INDEX($P$4:$P$40,MATCH($X4,$L$4:$L$40,0)))</f>
        <v>3.2</v>
      </c>
      <c r="AB4" s="523">
        <f t="shared" ref="AB4:AB5" si="3">IF(AA4=100,"",INDEX($Q$4:$Q$40,MATCH($X4,$L$4:$L$40,0)))</f>
        <v>16.920000000000002</v>
      </c>
      <c r="AC4" s="38">
        <v>1</v>
      </c>
      <c r="AD4" s="20" t="str">
        <f t="array" ref="AD4">IF(ROWS($2:2)&lt;=COUNTIF($F$4:$F$40,"M"),INDEX($E$4:$E$40,SMALL(IF($F$4:$F$40="M",MATCH($E$4:$E$40,$E$4:$E$40,0)),ROWS($2:2))),"")</f>
        <v>B</v>
      </c>
      <c r="AE4" s="38" t="str">
        <f t="shared" ref="AE4:AE40" si="4">INDEX($F$4:$F$40,MATCH($AD4,$E$4:$E$40,0))</f>
        <v>M</v>
      </c>
      <c r="AF4" s="38">
        <f>INDEX($G$4:$G$40,MATCH($AD4,$E$4:$E$40,0))</f>
        <v>2.4</v>
      </c>
      <c r="AG4" s="38">
        <f>INDEX($H$4:$H$40,MATCH($AD4,$E$4:$E$40,0))</f>
        <v>15.12</v>
      </c>
      <c r="AH4" s="38">
        <f>INDEX($I$4:$I$40,MATCH($AD4,$E$4:$E$40,0))</f>
        <v>3.2</v>
      </c>
      <c r="AI4" s="38">
        <f>INDEX($J$4:$J$40,MATCH($AD4,$E$4:$E$40,0))</f>
        <v>16.920000000000002</v>
      </c>
      <c r="AJ4" s="38">
        <f>IF(AD4&lt;&gt;"",SUMPRODUCT(--(AF4&gt;$AF$4:$AF$40))+COUNTIF($AF$4:AF4,AF4),"")</f>
        <v>7</v>
      </c>
      <c r="AK4" s="38">
        <f>IF(AD4&lt;&gt;"",SUMPRODUCT(--(AH4&gt;$AH$4:$AH$40))+COUNTIF($AH$4:AH4,AH4),"")</f>
        <v>7</v>
      </c>
      <c r="AL4" s="307">
        <f>IF(AD4&lt;&gt;"",IF(COUNT(AJ4,AK4)=2,AJ4+AK4,100),"")</f>
        <v>14</v>
      </c>
      <c r="AM4" s="38">
        <f>IF(AL4&lt;&gt;"",SUMPRODUCT(--(AL4&gt;$AL$4:$AL$40))+COUNTIF(AL$4:$AL4,AL4),"")</f>
        <v>7</v>
      </c>
      <c r="AN4" s="282"/>
      <c r="AO4" s="528">
        <f>IFERROR(SMALL($AM$4:$AM$40,$K4),"")</f>
        <v>1</v>
      </c>
      <c r="AP4" s="531" t="str">
        <f>INDEX($AD$4:$AD$40,MATCH($AO$4:$AO$40,$AK$4:$AK$40,0))</f>
        <v>D</v>
      </c>
      <c r="AQ4" s="521">
        <f t="shared" ref="AQ4:AQ40" si="5">IF(INDEX($AF$4:$AF$40,MATCH($AP4,$AD$4:$AD$40,0))="100","",INDEX($AF$4:$AF$40,MATCH($AP4,$AD$4:$AD$40,0)))</f>
        <v>2.1</v>
      </c>
      <c r="AR4" s="522">
        <f>IF(AQ4=100,"",INDEX($AG$4:$AG$40,MATCH($AP4,$AD$4:$AD$40,0)))</f>
        <v>17.28</v>
      </c>
      <c r="AS4" s="521">
        <f t="shared" ref="AS4:AS40" si="6">IF(INDEX($AH$4:$AH$40,MATCH($AP4,$AD$4:$AD$40,0))="100","",INDEX($AH$4:$AH$40,MATCH($AP4,$AD$4:$AD$40,0)))</f>
        <v>2.8</v>
      </c>
      <c r="AT4" s="523">
        <f>IF(AS4=100,"",INDEX($AI$4:$AI$40,MATCH($AP4,$AD$4:$AD$40,0)))</f>
        <v>19.440000000000001</v>
      </c>
      <c r="AU4" s="512"/>
      <c r="AV4" s="526">
        <f>IFERROR(SMALL($D$4:$D$40,$K4),"")</f>
        <v>1</v>
      </c>
      <c r="AW4" s="534" t="str">
        <f>INDEX($E$4:$E$40,MATCH($AV$4:$AV$40,$A$4:$A$40,0))</f>
        <v>D</v>
      </c>
      <c r="AX4" s="521">
        <f>IF(INDEX($G$4:$G$40,MATCH($AW4,$E$4:$E$40,0))="100","",INDEX($G$4:$G$40,MATCH($AW4,$E$4:$E$40,0)))</f>
        <v>2.1</v>
      </c>
      <c r="AY4" s="522">
        <f>IF(AX4=100,"",INDEX($H$4:$H$40,MATCH($AW4,$E$4:$E$40,0)))</f>
        <v>17.28</v>
      </c>
      <c r="AZ4" s="521">
        <f t="array" ref="AZ4">IF(INDEX($I$4:$I$40,MATCH($AW4,$E$4:$E$40,0))="100","",INDEX($I$4:$I$40,MATCH($AW4,$E$4:$E$40,0)))</f>
        <v>2.8</v>
      </c>
      <c r="BA4" s="523">
        <f t="shared" ref="BA4:BA40" si="7">IF(AZ4=100,"",INDEX($J$4:$J$40,MATCH($AW4,$E$4:$E$40,0)))</f>
        <v>19.440000000000001</v>
      </c>
    </row>
    <row r="5" spans="1:53" ht="24" customHeight="1">
      <c r="A5" s="38">
        <f>IF(E5&lt;&gt;"",SUMPRODUCT(--(I5&gt;$I$4:$I$40))+COUNTIF($I$4:I5,I5),"")</f>
        <v>7</v>
      </c>
      <c r="B5" s="38">
        <f>IF(E5&lt;&gt;"",SUMPRODUCT(--(G5&gt;$G$4:$G$40))+COUNTIF($G$4:G5,G5),"")</f>
        <v>7</v>
      </c>
      <c r="C5" s="506">
        <f t="shared" ref="C5:C40" si="8">IF(E5&lt;&gt;"",IF(COUNT(A5,B5)=2,3*A5+B5,100),"")</f>
        <v>28</v>
      </c>
      <c r="D5" s="38">
        <f>IF(E5&lt;&gt;"",COUNTIFS(I:I,"&lt;"&amp;I5)+COUNTIF($I$4:I5,I5),"")</f>
        <v>7</v>
      </c>
      <c r="E5" s="278" t="str">
        <f>IF(Liste!B4&lt;&gt;"",Liste!B4,"")</f>
        <v>B</v>
      </c>
      <c r="F5" s="279" t="str">
        <f>IF(Liste!C4&lt;&gt;"",Liste!C4,"")</f>
        <v>M</v>
      </c>
      <c r="G5" s="280">
        <f>IF(E5&lt;&gt;"",IF(Perf.Sprint!$M5&lt;&gt;"",Perf.Sprint!$M5,100),"")</f>
        <v>2.4</v>
      </c>
      <c r="H5" s="281">
        <f>IF(E5&lt;&gt;"",IF(Perf.Sprint!$O5&lt;&gt;"",Perf.Sprint!$O5,100),"")</f>
        <v>15.12</v>
      </c>
      <c r="I5" s="280">
        <f>IF(E5&lt;&gt;"",IF(Perf.Sprint!$Y5&lt;&gt;"",Perf.Sprint!$Y5,100),"")</f>
        <v>3.2</v>
      </c>
      <c r="J5" s="281">
        <f>IF(E5&lt;&gt;"",IF(Perf.Sprint!$AA5&lt;&gt;"",Perf.Sprint!$AA5,100),"")</f>
        <v>16.920000000000002</v>
      </c>
      <c r="K5" s="38">
        <v>2</v>
      </c>
      <c r="L5" s="20" t="str">
        <f t="array" ref="L5">IF(ROWS($2:3)&lt;=COUNTIF($F$4:$F$40,"F"),INDEX($E$4:$E$40,SMALL(IF($F$4:$F$40="F",MATCH($E$4:$E$40,$E$4:$E$40,0)),ROWS($2:3))),"")</f>
        <v>F</v>
      </c>
      <c r="M5" s="38" t="str">
        <f t="shared" si="0"/>
        <v>F</v>
      </c>
      <c r="N5" s="38">
        <f t="shared" si="1"/>
        <v>2.6</v>
      </c>
      <c r="O5" s="38">
        <f t="shared" ref="O5:O40" si="9">INDEX($H$4:$H$40,MATCH($L5,$E$4:$E$40,0))</f>
        <v>13.68</v>
      </c>
      <c r="P5" s="38">
        <f t="shared" si="2"/>
        <v>3.4</v>
      </c>
      <c r="Q5" s="38">
        <f t="shared" ref="Q5:Q40" si="10">INDEX($J$4:$J$40,MATCH($L5,$E$4:$E$40,0))</f>
        <v>15.840000000000002</v>
      </c>
      <c r="R5" s="38">
        <f>IF(L5&lt;&gt;"",SUMPRODUCT(--(N5&gt;$N$4:$N$40))+COUNTIF($N$4:N5,N5),"")</f>
        <v>7</v>
      </c>
      <c r="S5" s="38">
        <f>IF(L5&lt;&gt;"",SUMPRODUCT(--(P5&gt;$P$4:$P$40))+COUNTIF($P$4:P5,P5),"")</f>
        <v>5</v>
      </c>
      <c r="T5" s="307">
        <f t="shared" ref="T5:T40" si="11">IF(L5&lt;&gt;"",IF(COUNT(R5,S5)=2,R5+S5,100),"")</f>
        <v>12</v>
      </c>
      <c r="U5" s="38">
        <f>IF(S5&lt;&gt;"",SUMPRODUCT(--(S5&gt;$S$4:$S$40))+COUNTIF(S$4:$S5,S5),"")</f>
        <v>5</v>
      </c>
      <c r="V5" s="282"/>
      <c r="W5" s="527">
        <f t="shared" ref="W5:W40" si="12">IFERROR(SMALL($U$4:$U$40,$K5),"")</f>
        <v>2</v>
      </c>
      <c r="X5" s="46" t="str">
        <f>INDEX($L$4:$L$40,MATCH($W$4:$W$40,$S$4:$S$40,0))</f>
        <v>Q</v>
      </c>
      <c r="Y5" s="517">
        <f>IF(INDEX($N$4:$N$40,MATCH($X5,$L$4:$L$40,0))="100","",INDEX($N$4:$N$40,MATCH($X5,$L$4:$L$40,0)))</f>
        <v>2.4</v>
      </c>
      <c r="Z5" s="518">
        <f>IF(Y5=100,"",INDEX($O$4:$O$40,MATCH($X5,$L$4:$L$40,0)))</f>
        <v>15.12</v>
      </c>
      <c r="AA5" s="519">
        <f t="shared" ref="AA5:AA40" si="13">IF(INDEX($P$4:$P$40,MATCH($X5,$L$4:$L$40,0))="100","",INDEX($P$4:$P$40,MATCH($X5,$L$4:$L$40,0)))</f>
        <v>3.2</v>
      </c>
      <c r="AB5" s="290">
        <f t="shared" si="3"/>
        <v>16.920000000000002</v>
      </c>
      <c r="AC5" s="38">
        <v>2</v>
      </c>
      <c r="AD5" s="20" t="str">
        <f t="array" ref="AD5">IF(ROWS($2:3)&lt;=COUNTIF($F$4:$F$40,"M"),INDEX($E$4:$E$40,SMALL(IF($F$4:$F$40="M",MATCH($E$4:$E$40,$E$4:$E$40,0)),ROWS($2:3))),"")</f>
        <v>C</v>
      </c>
      <c r="AE5" s="38" t="str">
        <f t="shared" si="4"/>
        <v>M</v>
      </c>
      <c r="AF5" s="38">
        <f t="shared" ref="AF5:AF40" si="14">INDEX($G$4:$G$40,MATCH($AD5,$E$4:$E$40,0))</f>
        <v>2.2000000000000002</v>
      </c>
      <c r="AG5" s="38">
        <f t="shared" ref="AG5:AG40" si="15">INDEX($H$4:$H$40,MATCH($AD5,$E$4:$E$40,0))</f>
        <v>16.2</v>
      </c>
      <c r="AH5" s="38">
        <f t="shared" ref="AH5:AH40" si="16">INDEX($I$4:$I$40,MATCH($AD5,$E$4:$E$40,0))</f>
        <v>2.9</v>
      </c>
      <c r="AI5" s="38">
        <f t="shared" ref="AI5:AI40" si="17">INDEX($J$4:$J$40,MATCH($AD5,$E$4:$E$40,0))</f>
        <v>18.72</v>
      </c>
      <c r="AJ5" s="38">
        <f>IF(AD5&lt;&gt;"",SUMPRODUCT(--(AF5&gt;$AF$4:$AF$40))+COUNTIF($AF$4:AF5,AF5),"")</f>
        <v>3</v>
      </c>
      <c r="AK5" s="38">
        <f>IF(AD5&lt;&gt;"",SUMPRODUCT(--(AH5&gt;$AH$4:$AH$40))+COUNTIF($AH$4:AH5,AH5),"")</f>
        <v>2</v>
      </c>
      <c r="AL5" s="307">
        <f t="shared" ref="AL5:AL40" si="18">IF(AD5&lt;&gt;"",IF(COUNT(AJ5,AK5)=2,AJ5+AK5,100),"")</f>
        <v>5</v>
      </c>
      <c r="AM5" s="38">
        <f>IF(AL5&lt;&gt;"",SUMPRODUCT(--(AL5&gt;$AL$4:$AL$40))+COUNTIF(AL$4:$AL5,AL5),"")</f>
        <v>2</v>
      </c>
      <c r="AN5" s="282"/>
      <c r="AO5" s="529">
        <f t="shared" ref="AO5:AO40" si="19">IFERROR(SMALL($AM$4:$AM$40,$K5),"")</f>
        <v>2</v>
      </c>
      <c r="AP5" s="46" t="str">
        <f>INDEX($AD$4:$AD$40,MATCH($AO$4:$AO$40,$AK$4:$AK$40,0))</f>
        <v>C</v>
      </c>
      <c r="AQ5" s="517">
        <f t="shared" si="5"/>
        <v>2.2000000000000002</v>
      </c>
      <c r="AR5" s="518">
        <f>IF(AQ5=100,"",INDEX($AG$4:$AG$40,MATCH($AP5,$AD$4:$AD$40,0)))</f>
        <v>16.2</v>
      </c>
      <c r="AS5" s="519">
        <f t="shared" si="6"/>
        <v>2.9</v>
      </c>
      <c r="AT5" s="290">
        <f>IF(AS5=100,"",INDEX($AI$4:$AI$40,MATCH($AP5,$AD$4:$AD$40,0)))</f>
        <v>18.72</v>
      </c>
      <c r="AU5" s="513"/>
      <c r="AV5" s="527">
        <f t="shared" ref="AV5:AV40" si="20">IFERROR(SMALL($D$4:$D$40,$K5),"")</f>
        <v>2</v>
      </c>
      <c r="AW5" s="510" t="str">
        <f>INDEX($E$4:$E$40,MATCH($AV$4:$AV$40,$A$4:$A$40,0))</f>
        <v>C</v>
      </c>
      <c r="AX5" s="519">
        <f>IF(INDEX($G$4:$G$40,MATCH($AW5,$E$4:$E$40,0))="100","",INDEX($G$4:$G$40,MATCH($AW5,$E$4:$E$40,0)))</f>
        <v>2.2000000000000002</v>
      </c>
      <c r="AY5" s="520">
        <f>IF(AX5=100,"",INDEX($H$4:$H$40,MATCH($AW5,$E$4:$E$40,0)))</f>
        <v>16.2</v>
      </c>
      <c r="AZ5" s="519">
        <f t="array" ref="AZ5">IF(INDEX($I$4:$I$40,MATCH($AW5,$E$4:$E$40,0))="100","",INDEX($I$4:$I$40,MATCH($AW5,$E$4:$E$40,0)))</f>
        <v>2.9</v>
      </c>
      <c r="BA5" s="290">
        <f t="shared" si="7"/>
        <v>18.72</v>
      </c>
    </row>
    <row r="6" spans="1:53" ht="24" customHeight="1">
      <c r="A6" s="38">
        <f>IF(E6&lt;&gt;"",SUMPRODUCT(--(I6&gt;$I$4:$I$40))+COUNTIF($I$4:I6,I6),"")</f>
        <v>2</v>
      </c>
      <c r="B6" s="38">
        <f>IF(E6&lt;&gt;"",SUMPRODUCT(--(G6&gt;$G$4:$G$40))+COUNTIF($G$4:G6,G6),"")</f>
        <v>3</v>
      </c>
      <c r="C6" s="506">
        <f t="shared" si="8"/>
        <v>9</v>
      </c>
      <c r="D6" s="38">
        <f>IF(E6&lt;&gt;"",COUNTIFS(I:I,"&lt;"&amp;I6)+COUNTIF($I$4:I6,I6),"")</f>
        <v>2</v>
      </c>
      <c r="E6" s="278" t="str">
        <f>IF(Liste!B5&lt;&gt;"",Liste!B5,"")</f>
        <v>C</v>
      </c>
      <c r="F6" s="279" t="str">
        <f>IF(Liste!C5&lt;&gt;"",Liste!C5,"")</f>
        <v>M</v>
      </c>
      <c r="G6" s="280">
        <f>IF(E6&lt;&gt;"",IF(Perf.Sprint!$M6&lt;&gt;"",Perf.Sprint!$M6,100),"")</f>
        <v>2.2000000000000002</v>
      </c>
      <c r="H6" s="281">
        <f>IF(E6&lt;&gt;"",IF(Perf.Sprint!$O6&lt;&gt;"",Perf.Sprint!$O6,100),"")</f>
        <v>16.2</v>
      </c>
      <c r="I6" s="280">
        <f>IF(E6&lt;&gt;"",IF(Perf.Sprint!$Y6&lt;&gt;"",Perf.Sprint!$Y6,100),"")</f>
        <v>2.9</v>
      </c>
      <c r="J6" s="281">
        <f>IF(E6&lt;&gt;"",IF(Perf.Sprint!$AA6&lt;&gt;"",Perf.Sprint!$AA6,100),"")</f>
        <v>18.72</v>
      </c>
      <c r="K6" s="38">
        <v>3</v>
      </c>
      <c r="L6" s="20" t="str">
        <f t="array" ref="L6">IF(ROWS($2:4)&lt;=COUNTIF($F$4:$F$40,"F"),INDEX($E$4:$E$40,SMALL(IF($F$4:$F$40="F",MATCH($E$4:$E$40,$E$4:$E$40,0)),ROWS($2:4))),"")</f>
        <v>H</v>
      </c>
      <c r="M6" s="38" t="str">
        <f t="shared" si="0"/>
        <v>F</v>
      </c>
      <c r="N6" s="38">
        <f t="shared" si="1"/>
        <v>2.4</v>
      </c>
      <c r="O6" s="38">
        <f t="shared" si="9"/>
        <v>15.12</v>
      </c>
      <c r="P6" s="38">
        <f t="shared" si="2"/>
        <v>3.3</v>
      </c>
      <c r="Q6" s="38">
        <f t="shared" si="10"/>
        <v>16.2</v>
      </c>
      <c r="R6" s="38">
        <f>IF(L6&lt;&gt;"",SUMPRODUCT(--(N6&gt;$N$4:$N$40))+COUNTIF($N$4:N6,N6),"")</f>
        <v>1</v>
      </c>
      <c r="S6" s="38">
        <f>IF(L6&lt;&gt;"",SUMPRODUCT(--(P6&gt;$P$4:$P$40))+COUNTIF($P$4:P6,P6),"")</f>
        <v>4</v>
      </c>
      <c r="T6" s="307">
        <f t="shared" si="11"/>
        <v>5</v>
      </c>
      <c r="U6" s="38">
        <f>IF(S6&lt;&gt;"",SUMPRODUCT(--(S6&gt;$S$4:$S$40))+COUNTIF(S$4:$S6,S6),"")</f>
        <v>4</v>
      </c>
      <c r="V6" s="282"/>
      <c r="W6" s="527">
        <f t="shared" si="12"/>
        <v>3</v>
      </c>
      <c r="X6" s="532" t="str">
        <f t="shared" ref="X6:X40" si="21">INDEX($L$4:$L$40,MATCH($W$4:$W$40,$S$4:$S$40,0))</f>
        <v>R</v>
      </c>
      <c r="Y6" s="515">
        <f t="shared" ref="Y6:Y40" si="22">IF(INDEX($N$4:$N$40,MATCH($X6,$L$4:$L$40,0))="100","",INDEX($N$4:$N$40,MATCH($X6,$L$4:$L$40,0)))</f>
        <v>2.4</v>
      </c>
      <c r="Z6" s="516">
        <f t="shared" ref="Z6:Z40" si="23">IF(Y6=100,"",INDEX($O$4:$O$40,MATCH($X6,$L$4:$L$40,0)))</f>
        <v>15.12</v>
      </c>
      <c r="AA6" s="515">
        <f t="shared" si="13"/>
        <v>3.2</v>
      </c>
      <c r="AB6" s="285">
        <f t="shared" ref="AB6:AB40" si="24">IF(AA6=100,"",INDEX($Q$4:$Q$40,MATCH($X6,$L$4:$L$40,0)))</f>
        <v>16.920000000000002</v>
      </c>
      <c r="AC6" s="38">
        <v>3</v>
      </c>
      <c r="AD6" s="20" t="str">
        <f t="array" ref="AD6">IF(ROWS($2:4)&lt;=COUNTIF($F$4:$F$40,"M"),INDEX($E$4:$E$40,SMALL(IF($F$4:$F$40="M",MATCH($E$4:$E$40,$E$4:$E$40,0)),ROWS($2:4))),"")</f>
        <v>D</v>
      </c>
      <c r="AE6" s="38" t="str">
        <f t="shared" si="4"/>
        <v>M</v>
      </c>
      <c r="AF6" s="38">
        <f t="shared" si="14"/>
        <v>2.1</v>
      </c>
      <c r="AG6" s="38">
        <f t="shared" si="15"/>
        <v>17.28</v>
      </c>
      <c r="AH6" s="38">
        <f t="shared" si="16"/>
        <v>2.8</v>
      </c>
      <c r="AI6" s="38">
        <f t="shared" si="17"/>
        <v>19.440000000000001</v>
      </c>
      <c r="AJ6" s="38">
        <f>IF(AD6&lt;&gt;"",SUMPRODUCT(--(AF6&gt;$AF$4:$AF$40))+COUNTIF($AF$4:AF6,AF6),"")</f>
        <v>1</v>
      </c>
      <c r="AK6" s="38">
        <f>IF(AD6&lt;&gt;"",SUMPRODUCT(--(AH6&gt;$AH$4:$AH$40))+COUNTIF($AH$4:AH6,AH6),"")</f>
        <v>1</v>
      </c>
      <c r="AL6" s="307">
        <f t="shared" si="18"/>
        <v>2</v>
      </c>
      <c r="AM6" s="38">
        <f>IF(AL6&lt;&gt;"",SUMPRODUCT(--(AL6&gt;$AL$4:$AL$40))+COUNTIF(AL$4:$AL6,AL6),"")</f>
        <v>1</v>
      </c>
      <c r="AN6" s="282"/>
      <c r="AO6" s="529">
        <f t="shared" si="19"/>
        <v>3</v>
      </c>
      <c r="AP6" s="532" t="str">
        <f t="shared" ref="AP6:AP40" si="25">INDEX($AD$4:$AD$40,MATCH($AO$4:$AO$40,$AK$4:$AK$40,0))</f>
        <v>K</v>
      </c>
      <c r="AQ6" s="515">
        <f t="shared" si="5"/>
        <v>2.1</v>
      </c>
      <c r="AR6" s="516">
        <f t="shared" ref="AR6:AR40" si="26">IF(AQ6=100,"",INDEX($AG$4:$AG$40,MATCH($AP6,$AD$4:$AD$40,0)))</f>
        <v>17.28</v>
      </c>
      <c r="AS6" s="515">
        <f t="shared" si="6"/>
        <v>2.9</v>
      </c>
      <c r="AT6" s="285">
        <f t="shared" ref="AT6:AT40" si="27">IF(AS6=100,"",INDEX($AI$4:$AI$40,MATCH($AP6,$AD$4:$AD$40,0)))</f>
        <v>18.72</v>
      </c>
      <c r="AU6" s="512"/>
      <c r="AV6" s="527">
        <f t="shared" si="20"/>
        <v>3</v>
      </c>
      <c r="AW6" s="511" t="str">
        <f t="shared" ref="AW6:AW40" si="28">INDEX($E$4:$E$40,MATCH($AV$4:$AV$40,$D$4:$D$40,0))</f>
        <v>K</v>
      </c>
      <c r="AX6" s="515">
        <f t="shared" ref="AX6:AX40" si="29">IF(INDEX($G$4:$G$40,MATCH($AW6,$E$4:$E$40,0))="100","",INDEX($G$4:$G$40,MATCH($AW6,$E$4:$E$40,0)))</f>
        <v>2.1</v>
      </c>
      <c r="AY6" s="516">
        <f t="shared" ref="AY6:AY40" si="30">IF(AX6=100,"",INDEX($H$4:$H$40,MATCH($AW6,$E$4:$E$40,0)))</f>
        <v>17.28</v>
      </c>
      <c r="AZ6" s="515">
        <f t="array" ref="AZ6">IF(INDEX($I$4:$I$40,MATCH($AW6,$E$4:$E$40,0))="100","",INDEX($I$4:$I$40,MATCH($AW6,$E$4:$E$40,0)))</f>
        <v>2.9</v>
      </c>
      <c r="BA6" s="285">
        <f t="shared" si="7"/>
        <v>18.72</v>
      </c>
    </row>
    <row r="7" spans="1:53" ht="24" customHeight="1">
      <c r="A7" s="38">
        <f>IF(E7&lt;&gt;"",SUMPRODUCT(--(I7&gt;$I$4:$I$40))+COUNTIF($I$4:I7,I7),"")</f>
        <v>1</v>
      </c>
      <c r="B7" s="38">
        <f>IF(E7&lt;&gt;"",SUMPRODUCT(--(G7&gt;$G$4:$G$40))+COUNTIF($G$4:G7,G7),"")</f>
        <v>1</v>
      </c>
      <c r="C7" s="506">
        <f t="shared" si="8"/>
        <v>4</v>
      </c>
      <c r="D7" s="38">
        <f>IF(E7&lt;&gt;"",COUNTIFS(I:I,"&lt;"&amp;I7)+COUNTIF($I$4:I7,I7),"")</f>
        <v>1</v>
      </c>
      <c r="E7" s="278" t="str">
        <f>IF(Liste!B6&lt;&gt;"",Liste!B6,"")</f>
        <v>D</v>
      </c>
      <c r="F7" s="279" t="str">
        <f>IF(Liste!C6&lt;&gt;"",Liste!C6,"")</f>
        <v>M</v>
      </c>
      <c r="G7" s="280">
        <f>IF(E7&lt;&gt;"",IF(Perf.Sprint!$M7&lt;&gt;"",Perf.Sprint!$M7,100),"")</f>
        <v>2.1</v>
      </c>
      <c r="H7" s="281">
        <f>IF(E7&lt;&gt;"",IF(Perf.Sprint!$O7&lt;&gt;"",Perf.Sprint!$O7,100),"")</f>
        <v>17.28</v>
      </c>
      <c r="I7" s="280">
        <f>IF(E7&lt;&gt;"",IF(Perf.Sprint!$Y7&lt;&gt;"",Perf.Sprint!$Y7,100),"")</f>
        <v>2.8</v>
      </c>
      <c r="J7" s="281">
        <f>IF(E7&lt;&gt;"",IF(Perf.Sprint!$AA7&lt;&gt;"",Perf.Sprint!$AA7,100),"")</f>
        <v>19.440000000000001</v>
      </c>
      <c r="K7" s="38">
        <v>4</v>
      </c>
      <c r="L7" s="20" t="str">
        <f t="array" ref="L7">IF(ROWS($2:5)&lt;=COUNTIF($F$4:$F$40,"F"),INDEX($E$4:$E$40,SMALL(IF($F$4:$F$40="F",MATCH($E$4:$E$40,$E$4:$E$40,0)),ROWS($2:5))),"")</f>
        <v>M</v>
      </c>
      <c r="M7" s="38" t="str">
        <f t="shared" si="0"/>
        <v>F</v>
      </c>
      <c r="N7" s="38">
        <f t="shared" si="1"/>
        <v>2.4</v>
      </c>
      <c r="O7" s="38">
        <f t="shared" si="9"/>
        <v>15.12</v>
      </c>
      <c r="P7" s="38">
        <f t="shared" si="2"/>
        <v>3.2</v>
      </c>
      <c r="Q7" s="38">
        <f t="shared" si="10"/>
        <v>16.920000000000002</v>
      </c>
      <c r="R7" s="38">
        <f>IF(L7&lt;&gt;"",SUMPRODUCT(--(N7&gt;$N$4:$N$40))+COUNTIF($N$4:N7,N7),"")</f>
        <v>2</v>
      </c>
      <c r="S7" s="38">
        <f>IF(L7&lt;&gt;"",SUMPRODUCT(--(P7&gt;$P$4:$P$40))+COUNTIF($P$4:P7,P7),"")</f>
        <v>1</v>
      </c>
      <c r="T7" s="307">
        <f t="shared" si="11"/>
        <v>3</v>
      </c>
      <c r="U7" s="38">
        <f>IF(S7&lt;&gt;"",SUMPRODUCT(--(S7&gt;$S$4:$S$40))+COUNTIF(S$4:$S7,S7),"")</f>
        <v>1</v>
      </c>
      <c r="V7" s="282"/>
      <c r="W7" s="527">
        <f t="shared" si="12"/>
        <v>4</v>
      </c>
      <c r="X7" s="46" t="str">
        <f t="shared" si="21"/>
        <v>H</v>
      </c>
      <c r="Y7" s="517">
        <f t="shared" si="22"/>
        <v>2.4</v>
      </c>
      <c r="Z7" s="518">
        <f t="shared" si="23"/>
        <v>15.12</v>
      </c>
      <c r="AA7" s="519">
        <f t="shared" si="13"/>
        <v>3.3</v>
      </c>
      <c r="AB7" s="290">
        <f t="shared" si="24"/>
        <v>16.2</v>
      </c>
      <c r="AC7" s="38">
        <v>4</v>
      </c>
      <c r="AD7" s="20" t="str">
        <f t="array" ref="AD7">IF(ROWS($2:5)&lt;=COUNTIF($F$4:$F$40,"M"),INDEX($E$4:$E$40,SMALL(IF($F$4:$F$40="M",MATCH($E$4:$E$40,$E$4:$E$40,0)),ROWS($2:5))),"")</f>
        <v>E</v>
      </c>
      <c r="AE7" s="38" t="str">
        <f t="shared" si="4"/>
        <v>M</v>
      </c>
      <c r="AF7" s="38">
        <f t="shared" si="14"/>
        <v>2.5</v>
      </c>
      <c r="AG7" s="38">
        <f t="shared" si="15"/>
        <v>14.4</v>
      </c>
      <c r="AH7" s="38">
        <f t="shared" si="16"/>
        <v>3.3</v>
      </c>
      <c r="AI7" s="38">
        <f t="shared" si="17"/>
        <v>16.2</v>
      </c>
      <c r="AJ7" s="38">
        <f>IF(AD7&lt;&gt;"",SUMPRODUCT(--(AF7&gt;$AF$4:$AF$40))+COUNTIF($AF$4:AF7,AF7),"")</f>
        <v>8</v>
      </c>
      <c r="AK7" s="38">
        <f>IF(AD7&lt;&gt;"",SUMPRODUCT(--(AH7&gt;$AH$4:$AH$40))+COUNTIF($AH$4:AH7,AH7),"")</f>
        <v>8</v>
      </c>
      <c r="AL7" s="307">
        <f t="shared" si="18"/>
        <v>16</v>
      </c>
      <c r="AM7" s="38">
        <f>IF(AL7&lt;&gt;"",SUMPRODUCT(--(AL7&gt;$AL$4:$AL$40))+COUNTIF(AL$4:$AL7,AL7),"")</f>
        <v>8</v>
      </c>
      <c r="AN7" s="282"/>
      <c r="AO7" s="529">
        <f t="shared" si="19"/>
        <v>4</v>
      </c>
      <c r="AP7" s="46" t="str">
        <f t="shared" si="25"/>
        <v>N</v>
      </c>
      <c r="AQ7" s="517">
        <f t="shared" si="5"/>
        <v>2.2000000000000002</v>
      </c>
      <c r="AR7" s="518">
        <f t="shared" si="26"/>
        <v>16.2</v>
      </c>
      <c r="AS7" s="519">
        <f t="shared" si="6"/>
        <v>2.9</v>
      </c>
      <c r="AT7" s="290">
        <f t="shared" si="27"/>
        <v>18.72</v>
      </c>
      <c r="AU7" s="513"/>
      <c r="AV7" s="527">
        <f t="shared" si="20"/>
        <v>4</v>
      </c>
      <c r="AW7" s="510" t="str">
        <f t="shared" si="28"/>
        <v>N</v>
      </c>
      <c r="AX7" s="519">
        <f t="shared" si="29"/>
        <v>2.2000000000000002</v>
      </c>
      <c r="AY7" s="520">
        <f t="shared" si="30"/>
        <v>16.2</v>
      </c>
      <c r="AZ7" s="519">
        <f t="array" ref="AZ7">IF(INDEX($I$4:$I$40,MATCH($AW7,$E$4:$E$40,0))="100","",INDEX($I$4:$I$40,MATCH($AW7,$E$4:$E$40,0)))</f>
        <v>2.9</v>
      </c>
      <c r="BA7" s="290">
        <f t="shared" si="7"/>
        <v>18.72</v>
      </c>
    </row>
    <row r="8" spans="1:53" ht="24" customHeight="1">
      <c r="A8" s="38">
        <f>IF(E8&lt;&gt;"",SUMPRODUCT(--(I8&gt;$I$4:$I$40))+COUNTIF($I$4:I8,I8),"")</f>
        <v>11</v>
      </c>
      <c r="B8" s="38">
        <f>IF(E8&lt;&gt;"",SUMPRODUCT(--(G8&gt;$G$4:$G$40))+COUNTIF($G$4:G8,G8),"")</f>
        <v>12</v>
      </c>
      <c r="C8" s="506">
        <f t="shared" si="8"/>
        <v>45</v>
      </c>
      <c r="D8" s="38">
        <f>IF(E8&lt;&gt;"",COUNTIFS(I:I,"&lt;"&amp;I8)+COUNTIF($I$4:I8,I8),"")</f>
        <v>11</v>
      </c>
      <c r="E8" s="278" t="str">
        <f>IF(Liste!B7&lt;&gt;"",Liste!B7,"")</f>
        <v>E</v>
      </c>
      <c r="F8" s="279" t="str">
        <f>IF(Liste!C7&lt;&gt;"",Liste!C7,"")</f>
        <v>M</v>
      </c>
      <c r="G8" s="280">
        <f>IF(E8&lt;&gt;"",IF(Perf.Sprint!$M8&lt;&gt;"",Perf.Sprint!$M8,100),"")</f>
        <v>2.5</v>
      </c>
      <c r="H8" s="281">
        <f>IF(E8&lt;&gt;"",IF(Perf.Sprint!$O8&lt;&gt;"",Perf.Sprint!$O8,100),"")</f>
        <v>14.4</v>
      </c>
      <c r="I8" s="280">
        <f>IF(E8&lt;&gt;"",IF(Perf.Sprint!$Y8&lt;&gt;"",Perf.Sprint!$Y8,100),"")</f>
        <v>3.3</v>
      </c>
      <c r="J8" s="281">
        <f>IF(E8&lt;&gt;"",IF(Perf.Sprint!$AA8&lt;&gt;"",Perf.Sprint!$AA8,100),"")</f>
        <v>16.2</v>
      </c>
      <c r="K8" s="38">
        <v>5</v>
      </c>
      <c r="L8" s="20" t="str">
        <f t="array" ref="L8">IF(ROWS($2:6)&lt;=COUNTIF($F$4:$F$40,"F"),INDEX($E$4:$E$40,SMALL(IF($F$4:$F$40="F",MATCH($E$4:$E$40,$E$4:$E$40,0)),ROWS($2:6))),"")</f>
        <v>O</v>
      </c>
      <c r="M8" s="38" t="str">
        <f t="shared" si="0"/>
        <v>F</v>
      </c>
      <c r="N8" s="38">
        <f t="shared" si="1"/>
        <v>2.6</v>
      </c>
      <c r="O8" s="38">
        <f t="shared" si="9"/>
        <v>13.68</v>
      </c>
      <c r="P8" s="38">
        <f t="shared" si="2"/>
        <v>3.5</v>
      </c>
      <c r="Q8" s="38">
        <f t="shared" si="10"/>
        <v>15.48</v>
      </c>
      <c r="R8" s="38">
        <f>IF(L8&lt;&gt;"",SUMPRODUCT(--(N8&gt;$N$4:$N$40))+COUNTIF($N$4:N8,N8),"")</f>
        <v>8</v>
      </c>
      <c r="S8" s="38">
        <f>IF(L8&lt;&gt;"",SUMPRODUCT(--(P8&gt;$P$4:$P$40))+COUNTIF($P$4:P8,P8),"")</f>
        <v>8</v>
      </c>
      <c r="T8" s="307">
        <f t="shared" si="11"/>
        <v>16</v>
      </c>
      <c r="U8" s="38">
        <f>IF(S8&lt;&gt;"",SUMPRODUCT(--(S8&gt;$S$4:$S$40))+COUNTIF(S$4:$S8,S8),"")</f>
        <v>8</v>
      </c>
      <c r="V8" s="282"/>
      <c r="W8" s="527">
        <f t="shared" si="12"/>
        <v>5</v>
      </c>
      <c r="X8" s="532" t="str">
        <f t="shared" si="21"/>
        <v>F</v>
      </c>
      <c r="Y8" s="515">
        <f t="shared" si="22"/>
        <v>2.6</v>
      </c>
      <c r="Z8" s="516">
        <f t="shared" si="23"/>
        <v>13.68</v>
      </c>
      <c r="AA8" s="515">
        <f t="shared" si="13"/>
        <v>3.4</v>
      </c>
      <c r="AB8" s="285">
        <f t="shared" si="24"/>
        <v>15.840000000000002</v>
      </c>
      <c r="AC8" s="38">
        <v>5</v>
      </c>
      <c r="AD8" s="20" t="str">
        <f t="array" ref="AD8">IF(ROWS($2:6)&lt;=COUNTIF($F$4:$F$40,"M"),INDEX($E$4:$E$40,SMALL(IF($F$4:$F$40="M",MATCH($E$4:$E$40,$E$4:$E$40,0)),ROWS($2:6))),"")</f>
        <v>G</v>
      </c>
      <c r="AE8" s="38" t="str">
        <f t="shared" si="4"/>
        <v>M</v>
      </c>
      <c r="AF8" s="38">
        <f t="shared" si="14"/>
        <v>2.2000000000000002</v>
      </c>
      <c r="AG8" s="38">
        <f t="shared" si="15"/>
        <v>16.2</v>
      </c>
      <c r="AH8" s="38">
        <f t="shared" si="16"/>
        <v>3</v>
      </c>
      <c r="AI8" s="38">
        <f t="shared" si="17"/>
        <v>18</v>
      </c>
      <c r="AJ8" s="38">
        <f>IF(AD8&lt;&gt;"",SUMPRODUCT(--(AF8&gt;$AF$4:$AF$40))+COUNTIF($AF$4:AF8,AF8),"")</f>
        <v>4</v>
      </c>
      <c r="AK8" s="38">
        <f>IF(AD8&lt;&gt;"",SUMPRODUCT(--(AH8&gt;$AH$4:$AH$40))+COUNTIF($AH$4:AH8,AH8),"")</f>
        <v>5</v>
      </c>
      <c r="AL8" s="307">
        <f t="shared" si="18"/>
        <v>9</v>
      </c>
      <c r="AM8" s="38">
        <f>IF(AL8&lt;&gt;"",SUMPRODUCT(--(AL8&gt;$AL$4:$AL$40))+COUNTIF(AL$4:$AL8,AL8),"")</f>
        <v>4</v>
      </c>
      <c r="AN8" s="282"/>
      <c r="AO8" s="529">
        <f t="shared" si="19"/>
        <v>5</v>
      </c>
      <c r="AP8" s="532" t="str">
        <f t="shared" si="25"/>
        <v>G</v>
      </c>
      <c r="AQ8" s="515">
        <f t="shared" si="5"/>
        <v>2.2000000000000002</v>
      </c>
      <c r="AR8" s="516">
        <f t="shared" si="26"/>
        <v>16.2</v>
      </c>
      <c r="AS8" s="515">
        <f t="shared" si="6"/>
        <v>3</v>
      </c>
      <c r="AT8" s="285">
        <f t="shared" si="27"/>
        <v>18</v>
      </c>
      <c r="AU8" s="512"/>
      <c r="AV8" s="527">
        <f t="shared" si="20"/>
        <v>5</v>
      </c>
      <c r="AW8" s="511" t="str">
        <f t="shared" si="28"/>
        <v>G</v>
      </c>
      <c r="AX8" s="515">
        <f t="shared" si="29"/>
        <v>2.2000000000000002</v>
      </c>
      <c r="AY8" s="516">
        <f t="shared" si="30"/>
        <v>16.2</v>
      </c>
      <c r="AZ8" s="515">
        <f t="array" ref="AZ8">IF(INDEX($I$4:$I$40,MATCH($AW8,$E$4:$E$40,0))="100","",INDEX($I$4:$I$40,MATCH($AW8,$E$4:$E$40,0)))</f>
        <v>3</v>
      </c>
      <c r="BA8" s="285">
        <f t="shared" si="7"/>
        <v>18</v>
      </c>
    </row>
    <row r="9" spans="1:53" ht="24" customHeight="1">
      <c r="A9" s="38">
        <f>IF(E9&lt;&gt;"",SUMPRODUCT(--(I9&gt;$I$4:$I$40))+COUNTIF($I$4:I9,I9),"")</f>
        <v>14</v>
      </c>
      <c r="B9" s="38">
        <f>IF(E9&lt;&gt;"",SUMPRODUCT(--(G9&gt;$G$4:$G$40))+COUNTIF($G$4:G9,G9),"")</f>
        <v>16</v>
      </c>
      <c r="C9" s="506">
        <f t="shared" si="8"/>
        <v>58</v>
      </c>
      <c r="D9" s="38">
        <f>IF(E9&lt;&gt;"",COUNTIFS(I:I,"&lt;"&amp;I9)+COUNTIF($I$4:I9,I9),"")</f>
        <v>14</v>
      </c>
      <c r="E9" s="278" t="str">
        <f>IF(Liste!B8&lt;&gt;"",Liste!B8,"")</f>
        <v>F</v>
      </c>
      <c r="F9" s="279" t="str">
        <f>IF(Liste!C8&lt;&gt;"",Liste!C8,"")</f>
        <v>F</v>
      </c>
      <c r="G9" s="280">
        <f>IF(E9&lt;&gt;"",IF(Perf.Sprint!$M9&lt;&gt;"",Perf.Sprint!$M9,100),"")</f>
        <v>2.6</v>
      </c>
      <c r="H9" s="281">
        <f>IF(E9&lt;&gt;"",IF(Perf.Sprint!$O9&lt;&gt;"",Perf.Sprint!$O9,100),"")</f>
        <v>13.68</v>
      </c>
      <c r="I9" s="280">
        <f>IF(E9&lt;&gt;"",IF(Perf.Sprint!$Y9&lt;&gt;"",Perf.Sprint!$Y9,100),"")</f>
        <v>3.4</v>
      </c>
      <c r="J9" s="281">
        <f>IF(E9&lt;&gt;"",IF(Perf.Sprint!$AA9&lt;&gt;"",Perf.Sprint!$AA9,100),"")</f>
        <v>15.840000000000002</v>
      </c>
      <c r="K9" s="38">
        <v>6</v>
      </c>
      <c r="L9" s="20" t="str">
        <f t="array" ref="L9">IF(ROWS($2:7)&lt;=COUNTIF($F$4:$F$40,"F"),INDEX($E$4:$E$40,SMALL(IF($F$4:$F$40="F",MATCH($E$4:$E$40,$E$4:$E$40,0)),ROWS($2:7))),"")</f>
        <v>Q</v>
      </c>
      <c r="M9" s="38" t="str">
        <f t="shared" si="0"/>
        <v>F</v>
      </c>
      <c r="N9" s="38">
        <f t="shared" si="1"/>
        <v>2.4</v>
      </c>
      <c r="O9" s="38">
        <f t="shared" si="9"/>
        <v>15.12</v>
      </c>
      <c r="P9" s="38">
        <f t="shared" si="2"/>
        <v>3.2</v>
      </c>
      <c r="Q9" s="38">
        <f t="shared" si="10"/>
        <v>16.920000000000002</v>
      </c>
      <c r="R9" s="38">
        <f>IF(L9&lt;&gt;"",SUMPRODUCT(--(N9&gt;$N$4:$N$40))+COUNTIF($N$4:N9,N9),"")</f>
        <v>3</v>
      </c>
      <c r="S9" s="38">
        <f>IF(L9&lt;&gt;"",SUMPRODUCT(--(P9&gt;$P$4:$P$40))+COUNTIF($P$4:P9,P9),"")</f>
        <v>2</v>
      </c>
      <c r="T9" s="307">
        <f t="shared" si="11"/>
        <v>5</v>
      </c>
      <c r="U9" s="38">
        <f>IF(S9&lt;&gt;"",SUMPRODUCT(--(S9&gt;$S$4:$S$40))+COUNTIF(S$4:$S9,S9),"")</f>
        <v>2</v>
      </c>
      <c r="V9" s="282"/>
      <c r="W9" s="527">
        <f t="shared" si="12"/>
        <v>6</v>
      </c>
      <c r="X9" s="46" t="str">
        <f t="shared" si="21"/>
        <v>V</v>
      </c>
      <c r="Y9" s="517">
        <f t="shared" si="22"/>
        <v>2.5</v>
      </c>
      <c r="Z9" s="518">
        <f t="shared" si="23"/>
        <v>14.4</v>
      </c>
      <c r="AA9" s="519">
        <f t="shared" si="13"/>
        <v>3.4</v>
      </c>
      <c r="AB9" s="290">
        <f t="shared" si="24"/>
        <v>15.840000000000002</v>
      </c>
      <c r="AC9" s="38">
        <v>6</v>
      </c>
      <c r="AD9" s="20" t="str">
        <f t="array" ref="AD9">IF(ROWS($2:7)&lt;=COUNTIF($F$4:$F$40,"M"),INDEX($E$4:$E$40,SMALL(IF($F$4:$F$40="M",MATCH($E$4:$E$40,$E$4:$E$40,0)),ROWS($2:7))),"")</f>
        <v>I</v>
      </c>
      <c r="AE9" s="38" t="str">
        <f t="shared" si="4"/>
        <v>M</v>
      </c>
      <c r="AF9" s="38">
        <f t="shared" si="14"/>
        <v>100</v>
      </c>
      <c r="AG9" s="38">
        <f t="shared" si="15"/>
        <v>100</v>
      </c>
      <c r="AH9" s="38">
        <f t="shared" si="16"/>
        <v>100</v>
      </c>
      <c r="AI9" s="38">
        <f t="shared" si="17"/>
        <v>100</v>
      </c>
      <c r="AJ9" s="38">
        <f>IF(AD9&lt;&gt;"",SUMPRODUCT(--(AF9&gt;$AF$4:$AF$40))+COUNTIF($AF$4:AF9,AF9),"")</f>
        <v>10</v>
      </c>
      <c r="AK9" s="38">
        <f>IF(AD9&lt;&gt;"",SUMPRODUCT(--(AH9&gt;$AH$4:$AH$40))+COUNTIF($AH$4:AH9,AH9),"")</f>
        <v>10</v>
      </c>
      <c r="AL9" s="307">
        <f t="shared" si="18"/>
        <v>20</v>
      </c>
      <c r="AM9" s="38">
        <f>IF(AL9&lt;&gt;"",SUMPRODUCT(--(AL9&gt;$AL$4:$AL$40))+COUNTIF(AL$4:$AL9,AL9),"")</f>
        <v>10</v>
      </c>
      <c r="AN9" s="282"/>
      <c r="AO9" s="529">
        <f t="shared" si="19"/>
        <v>6</v>
      </c>
      <c r="AP9" s="46" t="str">
        <f t="shared" si="25"/>
        <v>X</v>
      </c>
      <c r="AQ9" s="517">
        <f t="shared" si="5"/>
        <v>2.2999999999999998</v>
      </c>
      <c r="AR9" s="518">
        <f t="shared" si="26"/>
        <v>15.48</v>
      </c>
      <c r="AS9" s="519">
        <f t="shared" si="6"/>
        <v>3.1</v>
      </c>
      <c r="AT9" s="290">
        <f t="shared" si="27"/>
        <v>17.28</v>
      </c>
      <c r="AU9" s="513"/>
      <c r="AV9" s="527">
        <f t="shared" si="20"/>
        <v>6</v>
      </c>
      <c r="AW9" s="510" t="str">
        <f t="shared" si="28"/>
        <v>X</v>
      </c>
      <c r="AX9" s="519">
        <f t="shared" si="29"/>
        <v>2.2999999999999998</v>
      </c>
      <c r="AY9" s="520">
        <f t="shared" si="30"/>
        <v>15.48</v>
      </c>
      <c r="AZ9" s="519">
        <f t="array" ref="AZ9">IF(INDEX($I$4:$I$40,MATCH($AW9,$E$4:$E$40,0))="100","",INDEX($I$4:$I$40,MATCH($AW9,$E$4:$E$40,0)))</f>
        <v>3.1</v>
      </c>
      <c r="BA9" s="290">
        <f t="shared" si="7"/>
        <v>17.28</v>
      </c>
    </row>
    <row r="10" spans="1:53" ht="24" customHeight="1">
      <c r="A10" s="38">
        <f>IF(E10&lt;&gt;"",SUMPRODUCT(--(I10&gt;$I$4:$I$40))+COUNTIF($I$4:I10,I10),"")</f>
        <v>5</v>
      </c>
      <c r="B10" s="38">
        <f>IF(E10&lt;&gt;"",SUMPRODUCT(--(G10&gt;$G$4:$G$40))+COUNTIF($G$4:G10,G10),"")</f>
        <v>4</v>
      </c>
      <c r="C10" s="506">
        <f t="shared" si="8"/>
        <v>19</v>
      </c>
      <c r="D10" s="38">
        <f>IF(E10&lt;&gt;"",COUNTIFS(I:I,"&lt;"&amp;I10)+COUNTIF($I$4:I10,I10),"")</f>
        <v>5</v>
      </c>
      <c r="E10" s="278" t="str">
        <f>IF(Liste!B9&lt;&gt;"",Liste!B9,"")</f>
        <v>G</v>
      </c>
      <c r="F10" s="279" t="str">
        <f>IF(Liste!C9&lt;&gt;"",Liste!C9,"")</f>
        <v>M</v>
      </c>
      <c r="G10" s="280">
        <f>IF(E10&lt;&gt;"",IF(Perf.Sprint!$M10&lt;&gt;"",Perf.Sprint!$M10,100),"")</f>
        <v>2.2000000000000002</v>
      </c>
      <c r="H10" s="281">
        <f>IF(E10&lt;&gt;"",IF(Perf.Sprint!$O10&lt;&gt;"",Perf.Sprint!$O10,100),"")</f>
        <v>16.2</v>
      </c>
      <c r="I10" s="280">
        <f>IF(E10&lt;&gt;"",IF(Perf.Sprint!$Y10&lt;&gt;"",Perf.Sprint!$Y10,100),"")</f>
        <v>3</v>
      </c>
      <c r="J10" s="281">
        <f>IF(E10&lt;&gt;"",IF(Perf.Sprint!$AA10&lt;&gt;"",Perf.Sprint!$AA10,100),"")</f>
        <v>18</v>
      </c>
      <c r="K10" s="38">
        <v>7</v>
      </c>
      <c r="L10" s="20" t="str">
        <f t="array" ref="L10">IF(ROWS($2:8)&lt;=COUNTIF($F$4:$F$40,"F"),INDEX($E$4:$E$40,SMALL(IF($F$4:$F$40="F",MATCH($E$4:$E$40,$E$4:$E$40,0)),ROWS($2:8))),"")</f>
        <v>R</v>
      </c>
      <c r="M10" s="38" t="str">
        <f t="shared" si="0"/>
        <v>F</v>
      </c>
      <c r="N10" s="38">
        <f t="shared" si="1"/>
        <v>2.4</v>
      </c>
      <c r="O10" s="38">
        <f t="shared" si="9"/>
        <v>15.12</v>
      </c>
      <c r="P10" s="38">
        <f t="shared" si="2"/>
        <v>3.2</v>
      </c>
      <c r="Q10" s="38">
        <f t="shared" si="10"/>
        <v>16.920000000000002</v>
      </c>
      <c r="R10" s="38">
        <f>IF(L10&lt;&gt;"",SUMPRODUCT(--(N10&gt;$N$4:$N$40))+COUNTIF($N$4:N10,N10),"")</f>
        <v>4</v>
      </c>
      <c r="S10" s="38">
        <f>IF(L10&lt;&gt;"",SUMPRODUCT(--(P10&gt;$P$4:$P$40))+COUNTIF($P$4:P10,P10),"")</f>
        <v>3</v>
      </c>
      <c r="T10" s="307">
        <f t="shared" si="11"/>
        <v>7</v>
      </c>
      <c r="U10" s="38">
        <f>IF(S10&lt;&gt;"",SUMPRODUCT(--(S10&gt;$S$4:$S$40))+COUNTIF(S$4:$S10,S10),"")</f>
        <v>3</v>
      </c>
      <c r="V10" s="282"/>
      <c r="W10" s="527">
        <f t="shared" si="12"/>
        <v>7</v>
      </c>
      <c r="X10" s="532" t="str">
        <f t="shared" si="21"/>
        <v>Y</v>
      </c>
      <c r="Y10" s="515">
        <f t="shared" si="22"/>
        <v>2.5</v>
      </c>
      <c r="Z10" s="516">
        <f t="shared" si="23"/>
        <v>14.4</v>
      </c>
      <c r="AA10" s="515">
        <f t="shared" si="13"/>
        <v>3.4</v>
      </c>
      <c r="AB10" s="285">
        <f t="shared" si="24"/>
        <v>15.840000000000002</v>
      </c>
      <c r="AC10" s="38">
        <v>7</v>
      </c>
      <c r="AD10" s="20" t="str">
        <f t="array" ref="AD10">IF(ROWS($2:8)&lt;=COUNTIF($F$4:$F$40,"M"),INDEX($E$4:$E$40,SMALL(IF($F$4:$F$40="M",MATCH($E$4:$E$40,$E$4:$E$40,0)),ROWS($2:8))),"")</f>
        <v xml:space="preserve">J </v>
      </c>
      <c r="AE10" s="38" t="str">
        <f t="shared" si="4"/>
        <v>M</v>
      </c>
      <c r="AF10" s="38">
        <f t="shared" si="14"/>
        <v>2.5</v>
      </c>
      <c r="AG10" s="38">
        <f t="shared" si="15"/>
        <v>14.4</v>
      </c>
      <c r="AH10" s="38">
        <f t="shared" si="16"/>
        <v>3.3</v>
      </c>
      <c r="AI10" s="38">
        <f t="shared" si="17"/>
        <v>16.2</v>
      </c>
      <c r="AJ10" s="38">
        <f>IF(AD10&lt;&gt;"",SUMPRODUCT(--(AF10&gt;$AF$4:$AF$40))+COUNTIF($AF$4:AF10,AF10),"")</f>
        <v>9</v>
      </c>
      <c r="AK10" s="38">
        <f>IF(AD10&lt;&gt;"",SUMPRODUCT(--(AH10&gt;$AH$4:$AH$40))+COUNTIF($AH$4:AH10,AH10),"")</f>
        <v>9</v>
      </c>
      <c r="AL10" s="307">
        <f t="shared" si="18"/>
        <v>18</v>
      </c>
      <c r="AM10" s="38">
        <f>IF(AL10&lt;&gt;"",SUMPRODUCT(--(AL10&gt;$AL$4:$AL$40))+COUNTIF(AL$4:$AL10,AL10),"")</f>
        <v>9</v>
      </c>
      <c r="AN10" s="282"/>
      <c r="AO10" s="529">
        <f t="shared" si="19"/>
        <v>7</v>
      </c>
      <c r="AP10" s="532" t="str">
        <f t="shared" si="25"/>
        <v>B</v>
      </c>
      <c r="AQ10" s="515">
        <f t="shared" si="5"/>
        <v>2.4</v>
      </c>
      <c r="AR10" s="516">
        <f t="shared" si="26"/>
        <v>15.12</v>
      </c>
      <c r="AS10" s="515">
        <f t="shared" si="6"/>
        <v>3.2</v>
      </c>
      <c r="AT10" s="285">
        <f t="shared" si="27"/>
        <v>16.920000000000002</v>
      </c>
      <c r="AU10" s="512"/>
      <c r="AV10" s="527">
        <f t="shared" si="20"/>
        <v>7</v>
      </c>
      <c r="AW10" s="511" t="str">
        <f t="shared" si="28"/>
        <v>B</v>
      </c>
      <c r="AX10" s="515">
        <f t="shared" si="29"/>
        <v>2.4</v>
      </c>
      <c r="AY10" s="516">
        <f t="shared" si="30"/>
        <v>15.12</v>
      </c>
      <c r="AZ10" s="515">
        <f t="array" ref="AZ10">IF(INDEX($I$4:$I$40,MATCH($AW10,$E$4:$E$40,0))="100","",INDEX($I$4:$I$40,MATCH($AW10,$E$4:$E$40,0)))</f>
        <v>3.2</v>
      </c>
      <c r="BA10" s="285">
        <f t="shared" si="7"/>
        <v>16.920000000000002</v>
      </c>
    </row>
    <row r="11" spans="1:53" ht="24" customHeight="1">
      <c r="A11" s="38">
        <f>IF(E11&lt;&gt;"",SUMPRODUCT(--(I11&gt;$I$4:$I$40))+COUNTIF($I$4:I11,I11),"")</f>
        <v>12</v>
      </c>
      <c r="B11" s="38">
        <f>IF(E11&lt;&gt;"",SUMPRODUCT(--(G11&gt;$G$4:$G$40))+COUNTIF($G$4:G11,G11),"")</f>
        <v>8</v>
      </c>
      <c r="C11" s="506">
        <f t="shared" si="8"/>
        <v>44</v>
      </c>
      <c r="D11" s="38">
        <f>IF(E11&lt;&gt;"",COUNTIFS(I:I,"&lt;"&amp;I11)+COUNTIF($I$4:I11,I11),"")</f>
        <v>12</v>
      </c>
      <c r="E11" s="278" t="str">
        <f>IF(Liste!B10&lt;&gt;"",Liste!B10,"")</f>
        <v>H</v>
      </c>
      <c r="F11" s="279" t="str">
        <f>IF(Liste!C10&lt;&gt;"",Liste!C10,"")</f>
        <v>F</v>
      </c>
      <c r="G11" s="280">
        <f>IF(E11&lt;&gt;"",IF(Perf.Sprint!$M11&lt;&gt;"",Perf.Sprint!$M11,100),"")</f>
        <v>2.4</v>
      </c>
      <c r="H11" s="281">
        <f>IF(E11&lt;&gt;"",IF(Perf.Sprint!$O11&lt;&gt;"",Perf.Sprint!$O11,100),"")</f>
        <v>15.12</v>
      </c>
      <c r="I11" s="280">
        <f>IF(E11&lt;&gt;"",IF(Perf.Sprint!$Y11&lt;&gt;"",Perf.Sprint!$Y11,100),"")</f>
        <v>3.3</v>
      </c>
      <c r="J11" s="281">
        <f>IF(E11&lt;&gt;"",IF(Perf.Sprint!$AA11&lt;&gt;"",Perf.Sprint!$AA11,100),"")</f>
        <v>16.2</v>
      </c>
      <c r="K11" s="38">
        <v>8</v>
      </c>
      <c r="L11" s="20" t="str">
        <f t="array" ref="L11">IF(ROWS($2:9)&lt;=COUNTIF($F$4:$F$40,"F"),INDEX($E$4:$E$40,SMALL(IF($F$4:$F$40="F",MATCH($E$4:$E$40,$E$4:$E$40,0)),ROWS($2:9))),"")</f>
        <v>S</v>
      </c>
      <c r="M11" s="38" t="str">
        <f t="shared" si="0"/>
        <v>F</v>
      </c>
      <c r="N11" s="38">
        <f t="shared" si="1"/>
        <v>100</v>
      </c>
      <c r="O11" s="38">
        <f t="shared" si="9"/>
        <v>100</v>
      </c>
      <c r="P11" s="38">
        <f t="shared" si="2"/>
        <v>100</v>
      </c>
      <c r="Q11" s="38">
        <f t="shared" si="10"/>
        <v>100</v>
      </c>
      <c r="R11" s="38">
        <f>IF(L11&lt;&gt;"",SUMPRODUCT(--(N11&gt;$N$4:$N$40))+COUNTIF($N$4:N11,N11),"")</f>
        <v>12</v>
      </c>
      <c r="S11" s="38">
        <f>IF(L11&lt;&gt;"",SUMPRODUCT(--(P11&gt;$P$4:$P$40))+COUNTIF($P$4:P11,P11),"")</f>
        <v>12</v>
      </c>
      <c r="T11" s="307">
        <f t="shared" si="11"/>
        <v>24</v>
      </c>
      <c r="U11" s="38">
        <f>IF(S11&lt;&gt;"",SUMPRODUCT(--(S11&gt;$S$4:$S$40))+COUNTIF(S$4:$S11,S11),"")</f>
        <v>12</v>
      </c>
      <c r="V11" s="282"/>
      <c r="W11" s="527">
        <f t="shared" si="12"/>
        <v>8</v>
      </c>
      <c r="X11" s="46" t="str">
        <f t="shared" si="21"/>
        <v>O</v>
      </c>
      <c r="Y11" s="517">
        <f t="shared" si="22"/>
        <v>2.6</v>
      </c>
      <c r="Z11" s="518">
        <f t="shared" si="23"/>
        <v>13.68</v>
      </c>
      <c r="AA11" s="519">
        <f t="shared" si="13"/>
        <v>3.5</v>
      </c>
      <c r="AB11" s="290">
        <f t="shared" si="24"/>
        <v>15.48</v>
      </c>
      <c r="AC11" s="38">
        <v>8</v>
      </c>
      <c r="AD11" s="20" t="str">
        <f t="array" ref="AD11">IF(ROWS($2:9)&lt;=COUNTIF($F$4:$F$40,"M"),INDEX($E$4:$E$40,SMALL(IF($F$4:$F$40="M",MATCH($E$4:$E$40,$E$4:$E$40,0)),ROWS($2:9))),"")</f>
        <v>K</v>
      </c>
      <c r="AE11" s="38" t="str">
        <f t="shared" si="4"/>
        <v>M</v>
      </c>
      <c r="AF11" s="38">
        <f t="shared" si="14"/>
        <v>2.1</v>
      </c>
      <c r="AG11" s="38">
        <f t="shared" si="15"/>
        <v>17.28</v>
      </c>
      <c r="AH11" s="38">
        <f t="shared" si="16"/>
        <v>2.9</v>
      </c>
      <c r="AI11" s="38">
        <f t="shared" si="17"/>
        <v>18.72</v>
      </c>
      <c r="AJ11" s="38">
        <f>IF(AD11&lt;&gt;"",SUMPRODUCT(--(AF11&gt;$AF$4:$AF$40))+COUNTIF($AF$4:AF11,AF11),"")</f>
        <v>2</v>
      </c>
      <c r="AK11" s="38">
        <f>IF(AD11&lt;&gt;"",SUMPRODUCT(--(AH11&gt;$AH$4:$AH$40))+COUNTIF($AH$4:AH11,AH11),"")</f>
        <v>3</v>
      </c>
      <c r="AL11" s="307">
        <f t="shared" si="18"/>
        <v>5</v>
      </c>
      <c r="AM11" s="38">
        <f>IF(AL11&lt;&gt;"",SUMPRODUCT(--(AL11&gt;$AL$4:$AL$40))+COUNTIF(AL$4:$AL11,AL11),"")</f>
        <v>3</v>
      </c>
      <c r="AN11" s="282"/>
      <c r="AO11" s="529">
        <f t="shared" si="19"/>
        <v>8</v>
      </c>
      <c r="AP11" s="46" t="str">
        <f t="shared" si="25"/>
        <v>E</v>
      </c>
      <c r="AQ11" s="517">
        <f t="shared" si="5"/>
        <v>2.5</v>
      </c>
      <c r="AR11" s="518">
        <f t="shared" si="26"/>
        <v>14.4</v>
      </c>
      <c r="AS11" s="519">
        <f t="shared" si="6"/>
        <v>3.3</v>
      </c>
      <c r="AT11" s="290">
        <f t="shared" si="27"/>
        <v>16.2</v>
      </c>
      <c r="AU11" s="513"/>
      <c r="AV11" s="527">
        <f t="shared" si="20"/>
        <v>8</v>
      </c>
      <c r="AW11" s="510" t="str">
        <f t="shared" si="28"/>
        <v>M</v>
      </c>
      <c r="AX11" s="519">
        <f t="shared" si="29"/>
        <v>2.4</v>
      </c>
      <c r="AY11" s="520">
        <f t="shared" si="30"/>
        <v>15.12</v>
      </c>
      <c r="AZ11" s="519">
        <f t="array" ref="AZ11">IF(INDEX($I$4:$I$40,MATCH($AW11,$E$4:$E$40,0))="100","",INDEX($I$4:$I$40,MATCH($AW11,$E$4:$E$40,0)))</f>
        <v>3.2</v>
      </c>
      <c r="BA11" s="290">
        <f t="shared" si="7"/>
        <v>16.920000000000002</v>
      </c>
    </row>
    <row r="12" spans="1:53" ht="24" customHeight="1">
      <c r="A12" s="38">
        <f>IF(E12&lt;&gt;"",SUMPRODUCT(--(I12&gt;$I$4:$I$40))+COUNTIF($I$4:I12,I12),"")</f>
        <v>21</v>
      </c>
      <c r="B12" s="38">
        <f>IF(E12&lt;&gt;"",SUMPRODUCT(--(G12&gt;$G$4:$G$40))+COUNTIF($G$4:G12,G12),"")</f>
        <v>21</v>
      </c>
      <c r="C12" s="506">
        <f t="shared" si="8"/>
        <v>84</v>
      </c>
      <c r="D12" s="38">
        <f>IF(E12&lt;&gt;"",COUNTIFS(I:I,"&lt;"&amp;I12)+COUNTIF($I$4:I12,I12),"")</f>
        <v>22</v>
      </c>
      <c r="E12" s="278" t="str">
        <f>IF(Liste!B11&lt;&gt;"",Liste!B11,"")</f>
        <v>I</v>
      </c>
      <c r="F12" s="279" t="str">
        <f>IF(Liste!C11&lt;&gt;"",Liste!C11,"")</f>
        <v>M</v>
      </c>
      <c r="G12" s="280">
        <f>IF(E12&lt;&gt;"",IF(Perf.Sprint!$M12&lt;&gt;"",Perf.Sprint!$M12,100),"")</f>
        <v>100</v>
      </c>
      <c r="H12" s="281">
        <f>IF(E12&lt;&gt;"",IF(Perf.Sprint!$O12&lt;&gt;"",Perf.Sprint!$O12,100),"")</f>
        <v>100</v>
      </c>
      <c r="I12" s="280">
        <f>IF(E12&lt;&gt;"",IF(Perf.Sprint!$Y12&lt;&gt;"",Perf.Sprint!$Y12,100),"")</f>
        <v>100</v>
      </c>
      <c r="J12" s="281">
        <f>IF(E12&lt;&gt;"",IF(Perf.Sprint!$AA12&lt;&gt;"",Perf.Sprint!$AA12,100),"")</f>
        <v>100</v>
      </c>
      <c r="K12" s="38">
        <v>9</v>
      </c>
      <c r="L12" s="20" t="str">
        <f t="array" ref="L12">IF(ROWS($2:10)&lt;=COUNTIF($F$4:$F$40,"F"),INDEX($E$4:$E$40,SMALL(IF($F$4:$F$40="F",MATCH($E$4:$E$40,$E$4:$E$40,0)),ROWS($2:10))),"")</f>
        <v>T</v>
      </c>
      <c r="M12" s="38" t="str">
        <f t="shared" si="0"/>
        <v>F</v>
      </c>
      <c r="N12" s="38">
        <f t="shared" si="1"/>
        <v>2.6</v>
      </c>
      <c r="O12" s="38">
        <f t="shared" si="9"/>
        <v>13.68</v>
      </c>
      <c r="P12" s="38">
        <f t="shared" si="2"/>
        <v>3.6</v>
      </c>
      <c r="Q12" s="38">
        <f t="shared" si="10"/>
        <v>15.12</v>
      </c>
      <c r="R12" s="38">
        <f>IF(L12&lt;&gt;"",SUMPRODUCT(--(N12&gt;$N$4:$N$40))+COUNTIF($N$4:N12,N12),"")</f>
        <v>9</v>
      </c>
      <c r="S12" s="38">
        <f>IF(L12&lt;&gt;"",SUMPRODUCT(--(P12&gt;$P$4:$P$40))+COUNTIF($P$4:P12,P12),"")</f>
        <v>9</v>
      </c>
      <c r="T12" s="307">
        <f t="shared" si="11"/>
        <v>18</v>
      </c>
      <c r="U12" s="38">
        <f>IF(S12&lt;&gt;"",SUMPRODUCT(--(S12&gt;$S$4:$S$40))+COUNTIF(S$4:$S12,S12),"")</f>
        <v>9</v>
      </c>
      <c r="V12" s="282"/>
      <c r="W12" s="527">
        <f t="shared" si="12"/>
        <v>9</v>
      </c>
      <c r="X12" s="532" t="str">
        <f t="shared" si="21"/>
        <v>T</v>
      </c>
      <c r="Y12" s="515">
        <f t="shared" si="22"/>
        <v>2.6</v>
      </c>
      <c r="Z12" s="516">
        <f t="shared" si="23"/>
        <v>13.68</v>
      </c>
      <c r="AA12" s="515">
        <f t="shared" si="13"/>
        <v>3.6</v>
      </c>
      <c r="AB12" s="285">
        <f t="shared" si="24"/>
        <v>15.12</v>
      </c>
      <c r="AC12" s="38">
        <v>9</v>
      </c>
      <c r="AD12" s="20" t="str">
        <f t="array" ref="AD12">IF(ROWS($2:10)&lt;=COUNTIF($F$4:$F$40,"M"),INDEX($E$4:$E$40,SMALL(IF($F$4:$F$40="M",MATCH($E$4:$E$40,$E$4:$E$40,0)),ROWS($2:10))),"")</f>
        <v>L</v>
      </c>
      <c r="AE12" s="38" t="str">
        <f t="shared" si="4"/>
        <v>M</v>
      </c>
      <c r="AF12" s="38">
        <f t="shared" si="14"/>
        <v>100</v>
      </c>
      <c r="AG12" s="38">
        <f t="shared" si="15"/>
        <v>100</v>
      </c>
      <c r="AH12" s="38">
        <f t="shared" si="16"/>
        <v>100</v>
      </c>
      <c r="AI12" s="38">
        <f t="shared" si="17"/>
        <v>100</v>
      </c>
      <c r="AJ12" s="38">
        <f>IF(AD12&lt;&gt;"",SUMPRODUCT(--(AF12&gt;$AF$4:$AF$40))+COUNTIF($AF$4:AF12,AF12),"")</f>
        <v>11</v>
      </c>
      <c r="AK12" s="38">
        <f>IF(AD12&lt;&gt;"",SUMPRODUCT(--(AH12&gt;$AH$4:$AH$40))+COUNTIF($AH$4:AH12,AH12),"")</f>
        <v>11</v>
      </c>
      <c r="AL12" s="307">
        <f t="shared" si="18"/>
        <v>22</v>
      </c>
      <c r="AM12" s="38">
        <f>IF(AL12&lt;&gt;"",SUMPRODUCT(--(AL12&gt;$AL$4:$AL$40))+COUNTIF(AL$4:$AL12,AL12),"")</f>
        <v>11</v>
      </c>
      <c r="AN12" s="282"/>
      <c r="AO12" s="529">
        <f t="shared" si="19"/>
        <v>9</v>
      </c>
      <c r="AP12" s="532" t="str">
        <f t="shared" si="25"/>
        <v xml:space="preserve">J </v>
      </c>
      <c r="AQ12" s="515">
        <f t="shared" si="5"/>
        <v>2.5</v>
      </c>
      <c r="AR12" s="516">
        <f t="shared" si="26"/>
        <v>14.4</v>
      </c>
      <c r="AS12" s="515">
        <f t="shared" si="6"/>
        <v>3.3</v>
      </c>
      <c r="AT12" s="285">
        <f t="shared" si="27"/>
        <v>16.2</v>
      </c>
      <c r="AU12" s="512"/>
      <c r="AV12" s="527">
        <f t="shared" si="20"/>
        <v>9</v>
      </c>
      <c r="AW12" s="511" t="str">
        <f t="shared" si="28"/>
        <v>Q</v>
      </c>
      <c r="AX12" s="515">
        <f t="shared" si="29"/>
        <v>2.4</v>
      </c>
      <c r="AY12" s="516">
        <f t="shared" si="30"/>
        <v>15.12</v>
      </c>
      <c r="AZ12" s="515">
        <f t="array" ref="AZ12">IF(INDEX($I$4:$I$40,MATCH($AW12,$E$4:$E$40,0))="100","",INDEX($I$4:$I$40,MATCH($AW12,$E$4:$E$40,0)))</f>
        <v>3.2</v>
      </c>
      <c r="BA12" s="285">
        <f t="shared" si="7"/>
        <v>16.920000000000002</v>
      </c>
    </row>
    <row r="13" spans="1:53" ht="24" customHeight="1">
      <c r="A13" s="38">
        <f>IF(E13&lt;&gt;"",SUMPRODUCT(--(I13&gt;$I$4:$I$40))+COUNTIF($I$4:I13,I13),"")</f>
        <v>13</v>
      </c>
      <c r="B13" s="38">
        <f>IF(E13&lt;&gt;"",SUMPRODUCT(--(G13&gt;$G$4:$G$40))+COUNTIF($G$4:G13,G13),"")</f>
        <v>13</v>
      </c>
      <c r="C13" s="506">
        <f t="shared" si="8"/>
        <v>52</v>
      </c>
      <c r="D13" s="38">
        <f>IF(E13&lt;&gt;"",COUNTIFS(I:I,"&lt;"&amp;I13)+COUNTIF($I$4:I13,I13),"")</f>
        <v>13</v>
      </c>
      <c r="E13" s="278" t="str">
        <f>IF(Liste!B12&lt;&gt;"",Liste!B12,"")</f>
        <v xml:space="preserve">J </v>
      </c>
      <c r="F13" s="279" t="str">
        <f>IF(Liste!C12&lt;&gt;"",Liste!C12,"")</f>
        <v>M</v>
      </c>
      <c r="G13" s="280">
        <f>IF(E13&lt;&gt;"",IF(Perf.Sprint!$M13&lt;&gt;"",Perf.Sprint!$M13,100),"")</f>
        <v>2.5</v>
      </c>
      <c r="H13" s="281">
        <f>IF(E13&lt;&gt;"",IF(Perf.Sprint!$O13&lt;&gt;"",Perf.Sprint!$O13,100),"")</f>
        <v>14.4</v>
      </c>
      <c r="I13" s="280">
        <f>IF(E13&lt;&gt;"",IF(Perf.Sprint!$Y13&lt;&gt;"",Perf.Sprint!$Y13,100),"")</f>
        <v>3.3</v>
      </c>
      <c r="J13" s="281">
        <f>IF(E13&lt;&gt;"",IF(Perf.Sprint!$AA13&lt;&gt;"",Perf.Sprint!$AA13,100),"")</f>
        <v>16.2</v>
      </c>
      <c r="K13" s="38">
        <v>10</v>
      </c>
      <c r="L13" s="20" t="str">
        <f t="array" ref="L13">IF(ROWS($2:11)&lt;=COUNTIF($F$4:$F$40,"F"),INDEX($E$4:$E$40,SMALL(IF($F$4:$F$40="F",MATCH($E$4:$E$40,$E$4:$E$40,0)),ROWS($2:11))),"")</f>
        <v>U</v>
      </c>
      <c r="M13" s="38" t="str">
        <f t="shared" si="0"/>
        <v>F</v>
      </c>
      <c r="N13" s="38">
        <f t="shared" si="1"/>
        <v>2.7</v>
      </c>
      <c r="O13" s="38">
        <f t="shared" si="9"/>
        <v>13.32</v>
      </c>
      <c r="P13" s="38">
        <f t="shared" si="2"/>
        <v>3.6</v>
      </c>
      <c r="Q13" s="38">
        <f t="shared" si="10"/>
        <v>15.12</v>
      </c>
      <c r="R13" s="38">
        <f>IF(L13&lt;&gt;"",SUMPRODUCT(--(N13&gt;$N$4:$N$40))+COUNTIF($N$4:N13,N13),"")</f>
        <v>10</v>
      </c>
      <c r="S13" s="38">
        <f>IF(L13&lt;&gt;"",SUMPRODUCT(--(P13&gt;$P$4:$P$40))+COUNTIF($P$4:P13,P13),"")</f>
        <v>10</v>
      </c>
      <c r="T13" s="307">
        <f t="shared" si="11"/>
        <v>20</v>
      </c>
      <c r="U13" s="38">
        <f>IF(S13&lt;&gt;"",SUMPRODUCT(--(S13&gt;$S$4:$S$40))+COUNTIF(S$4:$S13,S13),"")</f>
        <v>10</v>
      </c>
      <c r="V13" s="282"/>
      <c r="W13" s="527">
        <f t="shared" si="12"/>
        <v>10</v>
      </c>
      <c r="X13" s="46" t="str">
        <f t="shared" si="21"/>
        <v>U</v>
      </c>
      <c r="Y13" s="517">
        <f t="shared" si="22"/>
        <v>2.7</v>
      </c>
      <c r="Z13" s="518">
        <f t="shared" si="23"/>
        <v>13.32</v>
      </c>
      <c r="AA13" s="519">
        <f t="shared" si="13"/>
        <v>3.6</v>
      </c>
      <c r="AB13" s="290">
        <f t="shared" si="24"/>
        <v>15.12</v>
      </c>
      <c r="AC13" s="38">
        <v>10</v>
      </c>
      <c r="AD13" s="20" t="str">
        <f t="array" ref="AD13">IF(ROWS($2:11)&lt;=COUNTIF($F$4:$F$40,"M"),INDEX($E$4:$E$40,SMALL(IF($F$4:$F$40="M",MATCH($E$4:$E$40,$E$4:$E$40,0)),ROWS($2:11))),"")</f>
        <v>N</v>
      </c>
      <c r="AE13" s="38" t="str">
        <f t="shared" si="4"/>
        <v>M</v>
      </c>
      <c r="AF13" s="38">
        <f t="shared" si="14"/>
        <v>2.2000000000000002</v>
      </c>
      <c r="AG13" s="38">
        <f t="shared" si="15"/>
        <v>16.2</v>
      </c>
      <c r="AH13" s="38">
        <f t="shared" si="16"/>
        <v>2.9</v>
      </c>
      <c r="AI13" s="38">
        <f t="shared" si="17"/>
        <v>18.72</v>
      </c>
      <c r="AJ13" s="38">
        <f>IF(AD13&lt;&gt;"",SUMPRODUCT(--(AF13&gt;$AF$4:$AF$40))+COUNTIF($AF$4:AF13,AF13),"")</f>
        <v>5</v>
      </c>
      <c r="AK13" s="38">
        <f>IF(AD13&lt;&gt;"",SUMPRODUCT(--(AH13&gt;$AH$4:$AH$40))+COUNTIF($AH$4:AH13,AH13),"")</f>
        <v>4</v>
      </c>
      <c r="AL13" s="307">
        <f t="shared" si="18"/>
        <v>9</v>
      </c>
      <c r="AM13" s="38">
        <f>IF(AL13&lt;&gt;"",SUMPRODUCT(--(AL13&gt;$AL$4:$AL$40))+COUNTIF(AL$4:$AL13,AL13),"")</f>
        <v>5</v>
      </c>
      <c r="AN13" s="282"/>
      <c r="AO13" s="529">
        <f t="shared" si="19"/>
        <v>10</v>
      </c>
      <c r="AP13" s="46" t="str">
        <f t="shared" si="25"/>
        <v>I</v>
      </c>
      <c r="AQ13" s="517">
        <f t="shared" si="5"/>
        <v>100</v>
      </c>
      <c r="AR13" s="518" t="str">
        <f t="shared" si="26"/>
        <v/>
      </c>
      <c r="AS13" s="519">
        <f t="shared" si="6"/>
        <v>100</v>
      </c>
      <c r="AT13" s="290" t="str">
        <f t="shared" si="27"/>
        <v/>
      </c>
      <c r="AU13" s="513"/>
      <c r="AV13" s="527">
        <f t="shared" si="20"/>
        <v>10</v>
      </c>
      <c r="AW13" s="510" t="str">
        <f t="shared" si="28"/>
        <v>R</v>
      </c>
      <c r="AX13" s="519">
        <f t="shared" si="29"/>
        <v>2.4</v>
      </c>
      <c r="AY13" s="520">
        <f t="shared" si="30"/>
        <v>15.12</v>
      </c>
      <c r="AZ13" s="519">
        <f t="array" ref="AZ13">IF(INDEX($I$4:$I$40,MATCH($AW13,$E$4:$E$40,0))="100","",INDEX($I$4:$I$40,MATCH($AW13,$E$4:$E$40,0)))</f>
        <v>3.2</v>
      </c>
      <c r="BA13" s="290">
        <f t="shared" si="7"/>
        <v>16.920000000000002</v>
      </c>
    </row>
    <row r="14" spans="1:53" ht="24" customHeight="1">
      <c r="A14" s="38">
        <f>IF(E14&lt;&gt;"",SUMPRODUCT(--(I14&gt;$I$4:$I$40))+COUNTIF($I$4:I14,I14),"")</f>
        <v>3</v>
      </c>
      <c r="B14" s="38">
        <f>IF(E14&lt;&gt;"",SUMPRODUCT(--(G14&gt;$G$4:$G$40))+COUNTIF($G$4:G14,G14),"")</f>
        <v>2</v>
      </c>
      <c r="C14" s="506">
        <f t="shared" si="8"/>
        <v>11</v>
      </c>
      <c r="D14" s="38">
        <f>IF(E14&lt;&gt;"",COUNTIFS(I:I,"&lt;"&amp;I14)+COUNTIF($I$4:I14,I14),"")</f>
        <v>3</v>
      </c>
      <c r="E14" s="278" t="str">
        <f>IF(Liste!B13&lt;&gt;"",Liste!B13,"")</f>
        <v>K</v>
      </c>
      <c r="F14" s="279" t="str">
        <f>IF(Liste!C13&lt;&gt;"",Liste!C13,"")</f>
        <v>M</v>
      </c>
      <c r="G14" s="280">
        <f>IF(E14&lt;&gt;"",IF(Perf.Sprint!$M14&lt;&gt;"",Perf.Sprint!$M14,100),"")</f>
        <v>2.1</v>
      </c>
      <c r="H14" s="281">
        <f>IF(E14&lt;&gt;"",IF(Perf.Sprint!$O14&lt;&gt;"",Perf.Sprint!$O14,100),"")</f>
        <v>17.28</v>
      </c>
      <c r="I14" s="280">
        <f>IF(E14&lt;&gt;"",IF(Perf.Sprint!$Y14&lt;&gt;"",Perf.Sprint!$Y14,100),"")</f>
        <v>2.9</v>
      </c>
      <c r="J14" s="281">
        <f>IF(E14&lt;&gt;"",IF(Perf.Sprint!$AA14&lt;&gt;"",Perf.Sprint!$AA14,100),"")</f>
        <v>18.72</v>
      </c>
      <c r="K14" s="38">
        <v>11</v>
      </c>
      <c r="L14" s="20" t="str">
        <f t="array" ref="L14">IF(ROWS($2:12)&lt;=COUNTIF($F$4:$F$40,"F"),INDEX($E$4:$E$40,SMALL(IF($F$4:$F$40="F",MATCH($E$4:$E$40,$E$4:$E$40,0)),ROWS($2:12))),"")</f>
        <v>V</v>
      </c>
      <c r="M14" s="38" t="str">
        <f t="shared" si="0"/>
        <v>F</v>
      </c>
      <c r="N14" s="38">
        <f t="shared" si="1"/>
        <v>2.5</v>
      </c>
      <c r="O14" s="38">
        <f t="shared" si="9"/>
        <v>14.4</v>
      </c>
      <c r="P14" s="38">
        <f t="shared" si="2"/>
        <v>3.4</v>
      </c>
      <c r="Q14" s="38">
        <f t="shared" si="10"/>
        <v>15.840000000000002</v>
      </c>
      <c r="R14" s="38">
        <f>IF(L14&lt;&gt;"",SUMPRODUCT(--(N14&gt;$N$4:$N$40))+COUNTIF($N$4:N14,N14),"")</f>
        <v>5</v>
      </c>
      <c r="S14" s="38">
        <f>IF(L14&lt;&gt;"",SUMPRODUCT(--(P14&gt;$P$4:$P$40))+COUNTIF($P$4:P14,P14),"")</f>
        <v>6</v>
      </c>
      <c r="T14" s="307">
        <f t="shared" si="11"/>
        <v>11</v>
      </c>
      <c r="U14" s="38">
        <f>IF(S14&lt;&gt;"",SUMPRODUCT(--(S14&gt;$S$4:$S$40))+COUNTIF(S$4:$S14,S14),"")</f>
        <v>6</v>
      </c>
      <c r="V14" s="282"/>
      <c r="W14" s="527">
        <f t="shared" si="12"/>
        <v>11</v>
      </c>
      <c r="X14" s="532" t="str">
        <f t="shared" si="21"/>
        <v>A</v>
      </c>
      <c r="Y14" s="515">
        <f t="shared" si="22"/>
        <v>100</v>
      </c>
      <c r="Z14" s="516" t="str">
        <f t="shared" si="23"/>
        <v/>
      </c>
      <c r="AA14" s="515">
        <f t="shared" si="13"/>
        <v>100</v>
      </c>
      <c r="AB14" s="285" t="str">
        <f t="shared" si="24"/>
        <v/>
      </c>
      <c r="AC14" s="38">
        <v>11</v>
      </c>
      <c r="AD14" s="20" t="str">
        <f t="array" ref="AD14">IF(ROWS($2:12)&lt;=COUNTIF($F$4:$F$40,"M"),INDEX($E$4:$E$40,SMALL(IF($F$4:$F$40="M",MATCH($E$4:$E$40,$E$4:$E$40,0)),ROWS($2:12))),"")</f>
        <v>P</v>
      </c>
      <c r="AE14" s="38" t="str">
        <f t="shared" si="4"/>
        <v>M</v>
      </c>
      <c r="AF14" s="38">
        <f t="shared" si="14"/>
        <v>100</v>
      </c>
      <c r="AG14" s="38">
        <f t="shared" si="15"/>
        <v>100</v>
      </c>
      <c r="AH14" s="38">
        <f t="shared" si="16"/>
        <v>100</v>
      </c>
      <c r="AI14" s="38">
        <f t="shared" si="17"/>
        <v>100</v>
      </c>
      <c r="AJ14" s="38">
        <f>IF(AD14&lt;&gt;"",SUMPRODUCT(--(AF14&gt;$AF$4:$AF$40))+COUNTIF($AF$4:AF14,AF14),"")</f>
        <v>12</v>
      </c>
      <c r="AK14" s="38">
        <f>IF(AD14&lt;&gt;"",SUMPRODUCT(--(AH14&gt;$AH$4:$AH$40))+COUNTIF($AH$4:AH14,AH14),"")</f>
        <v>12</v>
      </c>
      <c r="AL14" s="307">
        <f t="shared" si="18"/>
        <v>24</v>
      </c>
      <c r="AM14" s="38">
        <f>IF(AL14&lt;&gt;"",SUMPRODUCT(--(AL14&gt;$AL$4:$AL$40))+COUNTIF(AL$4:$AL14,AL14),"")</f>
        <v>12</v>
      </c>
      <c r="AN14" s="282"/>
      <c r="AO14" s="529">
        <f t="shared" si="19"/>
        <v>11</v>
      </c>
      <c r="AP14" s="532" t="str">
        <f t="shared" si="25"/>
        <v>L</v>
      </c>
      <c r="AQ14" s="515">
        <f t="shared" si="5"/>
        <v>100</v>
      </c>
      <c r="AR14" s="516" t="str">
        <f t="shared" si="26"/>
        <v/>
      </c>
      <c r="AS14" s="515">
        <f t="shared" si="6"/>
        <v>100</v>
      </c>
      <c r="AT14" s="285" t="str">
        <f t="shared" si="27"/>
        <v/>
      </c>
      <c r="AU14" s="512"/>
      <c r="AV14" s="527">
        <f t="shared" si="20"/>
        <v>11</v>
      </c>
      <c r="AW14" s="511" t="str">
        <f t="shared" si="28"/>
        <v>E</v>
      </c>
      <c r="AX14" s="515">
        <f t="shared" si="29"/>
        <v>2.5</v>
      </c>
      <c r="AY14" s="516">
        <f t="shared" si="30"/>
        <v>14.4</v>
      </c>
      <c r="AZ14" s="515">
        <f t="array" ref="AZ14">IF(INDEX($I$4:$I$40,MATCH($AW14,$E$4:$E$40,0))="100","",INDEX($I$4:$I$40,MATCH($AW14,$E$4:$E$40,0)))</f>
        <v>3.3</v>
      </c>
      <c r="BA14" s="285">
        <f t="shared" si="7"/>
        <v>16.2</v>
      </c>
    </row>
    <row r="15" spans="1:53" ht="24" customHeight="1">
      <c r="A15" s="38">
        <f>IF(E15&lt;&gt;"",SUMPRODUCT(--(I15&gt;$I$4:$I$40))+COUNTIF($I$4:I15,I15),"")</f>
        <v>22</v>
      </c>
      <c r="B15" s="38">
        <f>IF(E15&lt;&gt;"",SUMPRODUCT(--(G15&gt;$G$4:$G$40))+COUNTIF($G$4:G15,G15),"")</f>
        <v>22</v>
      </c>
      <c r="C15" s="506">
        <f t="shared" si="8"/>
        <v>88</v>
      </c>
      <c r="D15" s="38">
        <f>IF(E15&lt;&gt;"",COUNTIFS(I:I,"&lt;"&amp;I15)+COUNTIF($I$4:I15,I15),"")</f>
        <v>23</v>
      </c>
      <c r="E15" s="278" t="str">
        <f>IF(Liste!B14&lt;&gt;"",Liste!B14,"")</f>
        <v>L</v>
      </c>
      <c r="F15" s="279" t="str">
        <f>IF(Liste!C14&lt;&gt;"",Liste!C14,"")</f>
        <v>M</v>
      </c>
      <c r="G15" s="280">
        <f>IF(E15&lt;&gt;"",IF(Perf.Sprint!$M15&lt;&gt;"",Perf.Sprint!$M15,100),"")</f>
        <v>100</v>
      </c>
      <c r="H15" s="281">
        <f>IF(E15&lt;&gt;"",IF(Perf.Sprint!$O15&lt;&gt;"",Perf.Sprint!$O15,100),"")</f>
        <v>100</v>
      </c>
      <c r="I15" s="280">
        <f>IF(E15&lt;&gt;"",IF(Perf.Sprint!$Y15&lt;&gt;"",Perf.Sprint!$Y15,100),"")</f>
        <v>100</v>
      </c>
      <c r="J15" s="281">
        <f>IF(E15&lt;&gt;"",IF(Perf.Sprint!$AA15&lt;&gt;"",Perf.Sprint!$AA15,100),"")</f>
        <v>100</v>
      </c>
      <c r="K15" s="38">
        <v>12</v>
      </c>
      <c r="L15" s="20" t="str">
        <f t="array" ref="L15">IF(ROWS($2:13)&lt;=COUNTIF($F$4:$F$40,"F"),INDEX($E$4:$E$40,SMALL(IF($F$4:$F$40="F",MATCH($E$4:$E$40,$E$4:$E$40,0)),ROWS($2:13))),"")</f>
        <v>W</v>
      </c>
      <c r="M15" s="38" t="str">
        <f t="shared" si="0"/>
        <v>F</v>
      </c>
      <c r="N15" s="38">
        <f t="shared" si="1"/>
        <v>100</v>
      </c>
      <c r="O15" s="38">
        <f t="shared" si="9"/>
        <v>100</v>
      </c>
      <c r="P15" s="38">
        <f t="shared" si="2"/>
        <v>100</v>
      </c>
      <c r="Q15" s="38">
        <f t="shared" si="10"/>
        <v>100</v>
      </c>
      <c r="R15" s="38">
        <f>IF(L15&lt;&gt;"",SUMPRODUCT(--(N15&gt;$N$4:$N$40))+COUNTIF($N$4:N15,N15),"")</f>
        <v>13</v>
      </c>
      <c r="S15" s="38">
        <f>IF(L15&lt;&gt;"",SUMPRODUCT(--(P15&gt;$P$4:$P$40))+COUNTIF($P$4:P15,P15),"")</f>
        <v>13</v>
      </c>
      <c r="T15" s="307">
        <f t="shared" si="11"/>
        <v>26</v>
      </c>
      <c r="U15" s="38">
        <f>IF(S15&lt;&gt;"",SUMPRODUCT(--(S15&gt;$S$4:$S$40))+COUNTIF(S$4:$S15,S15),"")</f>
        <v>13</v>
      </c>
      <c r="V15" s="282"/>
      <c r="W15" s="527">
        <f t="shared" si="12"/>
        <v>12</v>
      </c>
      <c r="X15" s="46" t="str">
        <f t="shared" si="21"/>
        <v>S</v>
      </c>
      <c r="Y15" s="517">
        <f t="shared" si="22"/>
        <v>100</v>
      </c>
      <c r="Z15" s="518" t="str">
        <f t="shared" si="23"/>
        <v/>
      </c>
      <c r="AA15" s="519">
        <f t="shared" si="13"/>
        <v>100</v>
      </c>
      <c r="AB15" s="290" t="str">
        <f t="shared" si="24"/>
        <v/>
      </c>
      <c r="AC15" s="38">
        <v>12</v>
      </c>
      <c r="AD15" s="20" t="str">
        <f t="array" ref="AD15">IF(ROWS($2:13)&lt;=COUNTIF($F$4:$F$40,"M"),INDEX($E$4:$E$40,SMALL(IF($F$4:$F$40="M",MATCH($E$4:$E$40,$E$4:$E$40,0)),ROWS($2:13))),"")</f>
        <v>X</v>
      </c>
      <c r="AE15" s="38" t="str">
        <f t="shared" si="4"/>
        <v>M</v>
      </c>
      <c r="AF15" s="38">
        <f t="shared" si="14"/>
        <v>2.2999999999999998</v>
      </c>
      <c r="AG15" s="38">
        <f t="shared" si="15"/>
        <v>15.48</v>
      </c>
      <c r="AH15" s="38">
        <f t="shared" si="16"/>
        <v>3.1</v>
      </c>
      <c r="AI15" s="38">
        <f t="shared" si="17"/>
        <v>17.28</v>
      </c>
      <c r="AJ15" s="38">
        <f>IF(AD15&lt;&gt;"",SUMPRODUCT(--(AF15&gt;$AF$4:$AF$40))+COUNTIF($AF$4:AF15,AF15),"")</f>
        <v>6</v>
      </c>
      <c r="AK15" s="38">
        <f>IF(AD15&lt;&gt;"",SUMPRODUCT(--(AH15&gt;$AH$4:$AH$40))+COUNTIF($AH$4:AH15,AH15),"")</f>
        <v>6</v>
      </c>
      <c r="AL15" s="307">
        <f t="shared" si="18"/>
        <v>12</v>
      </c>
      <c r="AM15" s="38">
        <f>IF(AL15&lt;&gt;"",SUMPRODUCT(--(AL15&gt;$AL$4:$AL$40))+COUNTIF(AL$4:$AL15,AL15),"")</f>
        <v>6</v>
      </c>
      <c r="AN15" s="282"/>
      <c r="AO15" s="529">
        <f t="shared" si="19"/>
        <v>12</v>
      </c>
      <c r="AP15" s="46" t="str">
        <f t="shared" si="25"/>
        <v>P</v>
      </c>
      <c r="AQ15" s="517">
        <f t="shared" si="5"/>
        <v>100</v>
      </c>
      <c r="AR15" s="518" t="str">
        <f t="shared" si="26"/>
        <v/>
      </c>
      <c r="AS15" s="519">
        <f t="shared" si="6"/>
        <v>100</v>
      </c>
      <c r="AT15" s="290" t="str">
        <f t="shared" si="27"/>
        <v/>
      </c>
      <c r="AU15" s="513"/>
      <c r="AV15" s="527">
        <f t="shared" si="20"/>
        <v>12</v>
      </c>
      <c r="AW15" s="510" t="str">
        <f t="shared" si="28"/>
        <v>H</v>
      </c>
      <c r="AX15" s="519">
        <f t="shared" si="29"/>
        <v>2.4</v>
      </c>
      <c r="AY15" s="520">
        <f t="shared" si="30"/>
        <v>15.12</v>
      </c>
      <c r="AZ15" s="519">
        <f t="array" ref="AZ15">IF(INDEX($I$4:$I$40,MATCH($AW15,$E$4:$E$40,0))="100","",INDEX($I$4:$I$40,MATCH($AW15,$E$4:$E$40,0)))</f>
        <v>3.3</v>
      </c>
      <c r="BA15" s="290">
        <f t="shared" si="7"/>
        <v>16.2</v>
      </c>
    </row>
    <row r="16" spans="1:53" ht="24" customHeight="1">
      <c r="A16" s="38">
        <f>IF(E16&lt;&gt;"",SUMPRODUCT(--(I16&gt;$I$4:$I$40))+COUNTIF($I$4:I16,I16),"")</f>
        <v>8</v>
      </c>
      <c r="B16" s="38">
        <f>IF(E16&lt;&gt;"",SUMPRODUCT(--(G16&gt;$G$4:$G$40))+COUNTIF($G$4:G16,G16),"")</f>
        <v>9</v>
      </c>
      <c r="C16" s="506">
        <f t="shared" si="8"/>
        <v>33</v>
      </c>
      <c r="D16" s="38">
        <f>IF(E16&lt;&gt;"",COUNTIFS(I:I,"&lt;"&amp;I16)+COUNTIF($I$4:I16,I16),"")</f>
        <v>8</v>
      </c>
      <c r="E16" s="278" t="str">
        <f>IF(Liste!B15&lt;&gt;"",Liste!B15,"")</f>
        <v>M</v>
      </c>
      <c r="F16" s="279" t="str">
        <f>IF(Liste!C15&lt;&gt;"",Liste!C15,"")</f>
        <v>F</v>
      </c>
      <c r="G16" s="280">
        <f>IF(E16&lt;&gt;"",IF(Perf.Sprint!$M16&lt;&gt;"",Perf.Sprint!$M16,100),"")</f>
        <v>2.4</v>
      </c>
      <c r="H16" s="281">
        <f>IF(E16&lt;&gt;"",IF(Perf.Sprint!$O16&lt;&gt;"",Perf.Sprint!$O16,100),"")</f>
        <v>15.12</v>
      </c>
      <c r="I16" s="280">
        <f>IF(E16&lt;&gt;"",IF(Perf.Sprint!$Y16&lt;&gt;"",Perf.Sprint!$Y16,100),"")</f>
        <v>3.2</v>
      </c>
      <c r="J16" s="281">
        <f>IF(E16&lt;&gt;"",IF(Perf.Sprint!$AA16&lt;&gt;"",Perf.Sprint!$AA16,100),"")</f>
        <v>16.920000000000002</v>
      </c>
      <c r="K16" s="38">
        <v>13</v>
      </c>
      <c r="L16" s="20" t="str">
        <f t="array" ref="L16">IF(ROWS($2:14)&lt;=COUNTIF($F$4:$F$40,"F"),INDEX($E$4:$E$40,SMALL(IF($F$4:$F$40="F",MATCH($E$4:$E$40,$E$4:$E$40,0)),ROWS($2:14))),"")</f>
        <v>Y</v>
      </c>
      <c r="M16" s="38" t="str">
        <f t="shared" si="0"/>
        <v>F</v>
      </c>
      <c r="N16" s="38">
        <f t="shared" si="1"/>
        <v>2.5</v>
      </c>
      <c r="O16" s="38">
        <f t="shared" si="9"/>
        <v>14.4</v>
      </c>
      <c r="P16" s="38">
        <f t="shared" si="2"/>
        <v>3.4</v>
      </c>
      <c r="Q16" s="38">
        <f t="shared" si="10"/>
        <v>15.840000000000002</v>
      </c>
      <c r="R16" s="38">
        <f>IF(L16&lt;&gt;"",SUMPRODUCT(--(N16&gt;$N$4:$N$40))+COUNTIF($N$4:N16,N16),"")</f>
        <v>6</v>
      </c>
      <c r="S16" s="38">
        <f>IF(L16&lt;&gt;"",SUMPRODUCT(--(P16&gt;$P$4:$P$40))+COUNTIF($P$4:P16,P16),"")</f>
        <v>7</v>
      </c>
      <c r="T16" s="307">
        <f t="shared" si="11"/>
        <v>13</v>
      </c>
      <c r="U16" s="38">
        <f>IF(S16&lt;&gt;"",SUMPRODUCT(--(S16&gt;$S$4:$S$40))+COUNTIF(S$4:$S16,S16),"")</f>
        <v>7</v>
      </c>
      <c r="V16" s="282"/>
      <c r="W16" s="527">
        <f t="shared" si="12"/>
        <v>13</v>
      </c>
      <c r="X16" s="532" t="str">
        <f t="shared" si="21"/>
        <v>W</v>
      </c>
      <c r="Y16" s="515">
        <f t="shared" si="22"/>
        <v>100</v>
      </c>
      <c r="Z16" s="516" t="str">
        <f t="shared" si="23"/>
        <v/>
      </c>
      <c r="AA16" s="515">
        <f t="shared" si="13"/>
        <v>100</v>
      </c>
      <c r="AB16" s="285" t="str">
        <f t="shared" si="24"/>
        <v/>
      </c>
      <c r="AC16" s="38">
        <v>13</v>
      </c>
      <c r="AD16" s="20" t="str">
        <f t="array" ref="AD16">IF(ROWS($2:14)&lt;=COUNTIF($F$4:$F$40,"M"),INDEX($E$4:$E$40,SMALL(IF($F$4:$F$40="M",MATCH($E$4:$E$40,$E$4:$E$40,0)),ROWS($2:14))),"")</f>
        <v/>
      </c>
      <c r="AE16" s="38" t="str">
        <f t="shared" si="4"/>
        <v/>
      </c>
      <c r="AF16" s="38" t="str">
        <f t="shared" si="14"/>
        <v/>
      </c>
      <c r="AG16" s="38" t="str">
        <f t="shared" si="15"/>
        <v/>
      </c>
      <c r="AH16" s="38" t="str">
        <f t="shared" si="16"/>
        <v/>
      </c>
      <c r="AI16" s="38" t="str">
        <f t="shared" si="17"/>
        <v/>
      </c>
      <c r="AJ16" s="38" t="str">
        <f>IF(AD16&lt;&gt;"",SUMPRODUCT(--(AF16&gt;$AF$4:$AF$40))+COUNTIF($AF$4:AF16,AF16),"")</f>
        <v/>
      </c>
      <c r="AK16" s="38" t="str">
        <f>IF(AD16&lt;&gt;"",SUMPRODUCT(--(AH16&gt;$AH$4:$AH$40))+COUNTIF($AH$4:AH16,AH16),"")</f>
        <v/>
      </c>
      <c r="AL16" s="307" t="str">
        <f t="shared" si="18"/>
        <v/>
      </c>
      <c r="AM16" s="38" t="str">
        <f>IF(AL16&lt;&gt;"",SUMPRODUCT(--(AL16&gt;$AL$4:$AL$40))+COUNTIF(AL$4:$AL16,AL16),"")</f>
        <v/>
      </c>
      <c r="AN16" s="282"/>
      <c r="AO16" s="529" t="str">
        <f t="shared" si="19"/>
        <v/>
      </c>
      <c r="AP16" s="532" t="str">
        <f t="shared" si="25"/>
        <v/>
      </c>
      <c r="AQ16" s="515" t="str">
        <f t="shared" si="5"/>
        <v/>
      </c>
      <c r="AR16" s="516" t="str">
        <f t="shared" si="26"/>
        <v/>
      </c>
      <c r="AS16" s="515" t="str">
        <f t="shared" si="6"/>
        <v/>
      </c>
      <c r="AT16" s="285" t="str">
        <f t="shared" si="27"/>
        <v/>
      </c>
      <c r="AU16" s="512"/>
      <c r="AV16" s="527">
        <f t="shared" si="20"/>
        <v>13</v>
      </c>
      <c r="AW16" s="511" t="str">
        <f t="shared" si="28"/>
        <v xml:space="preserve">J </v>
      </c>
      <c r="AX16" s="515">
        <f t="shared" si="29"/>
        <v>2.5</v>
      </c>
      <c r="AY16" s="516">
        <f t="shared" si="30"/>
        <v>14.4</v>
      </c>
      <c r="AZ16" s="515">
        <f t="array" ref="AZ16">IF(INDEX($I$4:$I$40,MATCH($AW16,$E$4:$E$40,0))="100","",INDEX($I$4:$I$40,MATCH($AW16,$E$4:$E$40,0)))</f>
        <v>3.3</v>
      </c>
      <c r="BA16" s="285">
        <f t="shared" si="7"/>
        <v>16.2</v>
      </c>
    </row>
    <row r="17" spans="1:53" ht="24" customHeight="1">
      <c r="A17" s="38">
        <f>IF(E17&lt;&gt;"",SUMPRODUCT(--(I17&gt;$I$4:$I$40))+COUNTIF($I$4:I17,I17),"")</f>
        <v>4</v>
      </c>
      <c r="B17" s="38">
        <f>IF(E17&lt;&gt;"",SUMPRODUCT(--(G17&gt;$G$4:$G$40))+COUNTIF($G$4:G17,G17),"")</f>
        <v>5</v>
      </c>
      <c r="C17" s="506">
        <f t="shared" si="8"/>
        <v>17</v>
      </c>
      <c r="D17" s="38">
        <f>IF(E17&lt;&gt;"",COUNTIFS(I:I,"&lt;"&amp;I17)+COUNTIF($I$4:I17,I17),"")</f>
        <v>4</v>
      </c>
      <c r="E17" s="278" t="str">
        <f>IF(Liste!B16&lt;&gt;"",Liste!B16,"")</f>
        <v>N</v>
      </c>
      <c r="F17" s="279" t="str">
        <f>IF(Liste!C16&lt;&gt;"",Liste!C16,"")</f>
        <v>M</v>
      </c>
      <c r="G17" s="280">
        <f>IF(E17&lt;&gt;"",IF(Perf.Sprint!$M17&lt;&gt;"",Perf.Sprint!$M17,100),"")</f>
        <v>2.2000000000000002</v>
      </c>
      <c r="H17" s="281">
        <f>IF(E17&lt;&gt;"",IF(Perf.Sprint!$O17&lt;&gt;"",Perf.Sprint!$O17,100),"")</f>
        <v>16.2</v>
      </c>
      <c r="I17" s="280">
        <f>IF(E17&lt;&gt;"",IF(Perf.Sprint!$Y17&lt;&gt;"",Perf.Sprint!$Y17,100),"")</f>
        <v>2.9</v>
      </c>
      <c r="J17" s="281">
        <f>IF(E17&lt;&gt;"",IF(Perf.Sprint!$AA17&lt;&gt;"",Perf.Sprint!$AA17,100),"")</f>
        <v>18.72</v>
      </c>
      <c r="K17" s="38">
        <v>14</v>
      </c>
      <c r="L17" s="20" t="str">
        <f t="array" ref="L17">IF(ROWS($2:15)&lt;=COUNTIF($F$4:$F$40,"F"),INDEX($E$4:$E$40,SMALL(IF($F$4:$F$40="F",MATCH($E$4:$E$40,$E$4:$E$40,0)),ROWS($2:15))),"")</f>
        <v>Z</v>
      </c>
      <c r="M17" s="38" t="str">
        <f t="shared" si="0"/>
        <v>F</v>
      </c>
      <c r="N17" s="38">
        <f t="shared" si="1"/>
        <v>100</v>
      </c>
      <c r="O17" s="38">
        <f t="shared" si="9"/>
        <v>100</v>
      </c>
      <c r="P17" s="38">
        <f t="shared" si="2"/>
        <v>100</v>
      </c>
      <c r="Q17" s="38">
        <f t="shared" si="10"/>
        <v>100</v>
      </c>
      <c r="R17" s="38">
        <f>IF(L17&lt;&gt;"",SUMPRODUCT(--(N17&gt;$N$4:$N$40))+COUNTIF($N$4:N17,N17),"")</f>
        <v>14</v>
      </c>
      <c r="S17" s="38">
        <f>IF(L17&lt;&gt;"",SUMPRODUCT(--(P17&gt;$P$4:$P$40))+COUNTIF($P$4:P17,P17),"")</f>
        <v>14</v>
      </c>
      <c r="T17" s="307">
        <f t="shared" si="11"/>
        <v>28</v>
      </c>
      <c r="U17" s="38">
        <f>IF(S17&lt;&gt;"",SUMPRODUCT(--(S17&gt;$S$4:$S$40))+COUNTIF(S$4:$S17,S17),"")</f>
        <v>14</v>
      </c>
      <c r="V17" s="282"/>
      <c r="W17" s="527">
        <f t="shared" si="12"/>
        <v>14</v>
      </c>
      <c r="X17" s="46" t="str">
        <f t="shared" si="21"/>
        <v>Z</v>
      </c>
      <c r="Y17" s="517">
        <f t="shared" si="22"/>
        <v>100</v>
      </c>
      <c r="Z17" s="518" t="str">
        <f t="shared" si="23"/>
        <v/>
      </c>
      <c r="AA17" s="519">
        <f t="shared" si="13"/>
        <v>100</v>
      </c>
      <c r="AB17" s="290" t="str">
        <f t="shared" si="24"/>
        <v/>
      </c>
      <c r="AC17" s="38">
        <v>14</v>
      </c>
      <c r="AD17" s="20" t="str">
        <f t="array" ref="AD17">IF(ROWS($2:15)&lt;=COUNTIF($F$4:$F$40,"M"),INDEX($E$4:$E$40,SMALL(IF($F$4:$F$40="M",MATCH($E$4:$E$40,$E$4:$E$40,0)),ROWS($2:15))),"")</f>
        <v/>
      </c>
      <c r="AE17" s="38" t="str">
        <f t="shared" si="4"/>
        <v/>
      </c>
      <c r="AF17" s="38" t="str">
        <f t="shared" si="14"/>
        <v/>
      </c>
      <c r="AG17" s="38" t="str">
        <f t="shared" si="15"/>
        <v/>
      </c>
      <c r="AH17" s="38" t="str">
        <f t="shared" si="16"/>
        <v/>
      </c>
      <c r="AI17" s="38" t="str">
        <f t="shared" si="17"/>
        <v/>
      </c>
      <c r="AJ17" s="38" t="str">
        <f>IF(AD17&lt;&gt;"",SUMPRODUCT(--(AF17&gt;$AF$4:$AF$40))+COUNTIF($AF$4:AF17,AF17),"")</f>
        <v/>
      </c>
      <c r="AK17" s="38" t="str">
        <f>IF(AD17&lt;&gt;"",SUMPRODUCT(--(AH17&gt;$AH$4:$AH$40))+COUNTIF($AH$4:AH17,AH17),"")</f>
        <v/>
      </c>
      <c r="AL17" s="307" t="str">
        <f t="shared" si="18"/>
        <v/>
      </c>
      <c r="AM17" s="38" t="str">
        <f>IF(AL17&lt;&gt;"",SUMPRODUCT(--(AL17&gt;$AL$4:$AL$40))+COUNTIF(AL$4:$AL17,AL17),"")</f>
        <v/>
      </c>
      <c r="AN17" s="282"/>
      <c r="AO17" s="529" t="str">
        <f t="shared" si="19"/>
        <v/>
      </c>
      <c r="AP17" s="46" t="str">
        <f t="shared" si="25"/>
        <v/>
      </c>
      <c r="AQ17" s="517" t="str">
        <f t="shared" si="5"/>
        <v/>
      </c>
      <c r="AR17" s="518" t="str">
        <f t="shared" si="26"/>
        <v/>
      </c>
      <c r="AS17" s="519" t="str">
        <f t="shared" si="6"/>
        <v/>
      </c>
      <c r="AT17" s="290" t="str">
        <f t="shared" si="27"/>
        <v/>
      </c>
      <c r="AU17" s="513"/>
      <c r="AV17" s="527">
        <f t="shared" si="20"/>
        <v>14</v>
      </c>
      <c r="AW17" s="510" t="str">
        <f t="shared" si="28"/>
        <v>F</v>
      </c>
      <c r="AX17" s="519">
        <f t="shared" si="29"/>
        <v>2.6</v>
      </c>
      <c r="AY17" s="520">
        <f t="shared" si="30"/>
        <v>13.68</v>
      </c>
      <c r="AZ17" s="519">
        <f t="array" ref="AZ17">IF(INDEX($I$4:$I$40,MATCH($AW17,$E$4:$E$40,0))="100","",INDEX($I$4:$I$40,MATCH($AW17,$E$4:$E$40,0)))</f>
        <v>3.4</v>
      </c>
      <c r="BA17" s="290">
        <f t="shared" si="7"/>
        <v>15.840000000000002</v>
      </c>
    </row>
    <row r="18" spans="1:53" ht="24" customHeight="1">
      <c r="A18" s="38">
        <f>IF(E18&lt;&gt;"",SUMPRODUCT(--(I18&gt;$I$4:$I$40))+COUNTIF($I$4:I18,I18),"")</f>
        <v>17</v>
      </c>
      <c r="B18" s="38">
        <f>IF(E18&lt;&gt;"",SUMPRODUCT(--(G18&gt;$G$4:$G$40))+COUNTIF($G$4:G18,G18),"")</f>
        <v>17</v>
      </c>
      <c r="C18" s="506">
        <f t="shared" si="8"/>
        <v>68</v>
      </c>
      <c r="D18" s="38">
        <f>IF(E18&lt;&gt;"",COUNTIFS(I:I,"&lt;"&amp;I18)+COUNTIF($I$4:I18,I18),"")</f>
        <v>17</v>
      </c>
      <c r="E18" s="278" t="str">
        <f>IF(Liste!B17&lt;&gt;"",Liste!B17,"")</f>
        <v>O</v>
      </c>
      <c r="F18" s="279" t="str">
        <f>IF(Liste!C17&lt;&gt;"",Liste!C17,"")</f>
        <v>F</v>
      </c>
      <c r="G18" s="280">
        <f>IF(E18&lt;&gt;"",IF(Perf.Sprint!$M18&lt;&gt;"",Perf.Sprint!$M18,100),"")</f>
        <v>2.6</v>
      </c>
      <c r="H18" s="281">
        <f>IF(E18&lt;&gt;"",IF(Perf.Sprint!$O18&lt;&gt;"",Perf.Sprint!$O18,100),"")</f>
        <v>13.68</v>
      </c>
      <c r="I18" s="280">
        <f>IF(E18&lt;&gt;"",IF(Perf.Sprint!$Y18&lt;&gt;"",Perf.Sprint!$Y18,100),"")</f>
        <v>3.5</v>
      </c>
      <c r="J18" s="281">
        <f>IF(E18&lt;&gt;"",IF(Perf.Sprint!$AA18&lt;&gt;"",Perf.Sprint!$AA18,100),"")</f>
        <v>15.48</v>
      </c>
      <c r="K18" s="38">
        <v>15</v>
      </c>
      <c r="L18" s="20" t="str">
        <f t="array" ref="L18">IF(ROWS($2:16)&lt;=COUNTIF($F$4:$F$40,"F"),INDEX($E$4:$E$40,SMALL(IF($F$4:$F$40="F",MATCH($E$4:$E$40,$E$4:$E$40,0)),ROWS($2:16))),"")</f>
        <v/>
      </c>
      <c r="M18" s="38" t="str">
        <f t="shared" si="0"/>
        <v/>
      </c>
      <c r="N18" s="38" t="str">
        <f t="shared" si="1"/>
        <v/>
      </c>
      <c r="O18" s="38" t="str">
        <f t="shared" si="9"/>
        <v/>
      </c>
      <c r="P18" s="38" t="str">
        <f t="shared" si="2"/>
        <v/>
      </c>
      <c r="Q18" s="38" t="str">
        <f t="shared" si="10"/>
        <v/>
      </c>
      <c r="R18" s="38" t="str">
        <f>IF(L18&lt;&gt;"",SUMPRODUCT(--(N18&gt;$N$4:$N$40))+COUNTIF($N$4:N18,N18),"")</f>
        <v/>
      </c>
      <c r="S18" s="38" t="str">
        <f>IF(L18&lt;&gt;"",SUMPRODUCT(--(P18&gt;$P$4:$P$40))+COUNTIF($P$4:P18,P18),"")</f>
        <v/>
      </c>
      <c r="T18" s="307" t="str">
        <f t="shared" si="11"/>
        <v/>
      </c>
      <c r="U18" s="38" t="str">
        <f>IF(S18&lt;&gt;"",SUMPRODUCT(--(S18&gt;$S$4:$S$40))+COUNTIF(S$4:$S18,S18),"")</f>
        <v/>
      </c>
      <c r="V18" s="282"/>
      <c r="W18" s="527" t="str">
        <f t="shared" si="12"/>
        <v/>
      </c>
      <c r="X18" s="532" t="str">
        <f t="shared" si="21"/>
        <v/>
      </c>
      <c r="Y18" s="515" t="str">
        <f t="shared" si="22"/>
        <v/>
      </c>
      <c r="Z18" s="516" t="str">
        <f t="shared" si="23"/>
        <v/>
      </c>
      <c r="AA18" s="515" t="str">
        <f t="shared" si="13"/>
        <v/>
      </c>
      <c r="AB18" s="285" t="str">
        <f t="shared" si="24"/>
        <v/>
      </c>
      <c r="AC18" s="38">
        <v>15</v>
      </c>
      <c r="AD18" s="20" t="str">
        <f t="array" ref="AD18">IF(ROWS($2:16)&lt;=COUNTIF($F$4:$F$40,"M"),INDEX($E$4:$E$40,SMALL(IF($F$4:$F$40="M",MATCH($E$4:$E$40,$E$4:$E$40,0)),ROWS($2:16))),"")</f>
        <v/>
      </c>
      <c r="AE18" s="38" t="str">
        <f t="shared" si="4"/>
        <v/>
      </c>
      <c r="AF18" s="38" t="str">
        <f t="shared" si="14"/>
        <v/>
      </c>
      <c r="AG18" s="38" t="str">
        <f t="shared" si="15"/>
        <v/>
      </c>
      <c r="AH18" s="38" t="str">
        <f t="shared" si="16"/>
        <v/>
      </c>
      <c r="AI18" s="38" t="str">
        <f t="shared" si="17"/>
        <v/>
      </c>
      <c r="AJ18" s="38" t="str">
        <f>IF(AD18&lt;&gt;"",SUMPRODUCT(--(AF18&gt;$AF$4:$AF$40))+COUNTIF($AF$4:AF18,AF18),"")</f>
        <v/>
      </c>
      <c r="AK18" s="38" t="str">
        <f>IF(AD18&lt;&gt;"",SUMPRODUCT(--(AH18&gt;$AH$4:$AH$40))+COUNTIF($AH$4:AH18,AH18),"")</f>
        <v/>
      </c>
      <c r="AL18" s="307" t="str">
        <f t="shared" si="18"/>
        <v/>
      </c>
      <c r="AM18" s="38" t="str">
        <f>IF(AL18&lt;&gt;"",SUMPRODUCT(--(AL18&gt;$AL$4:$AL$40))+COUNTIF(AL$4:$AL18,AL18),"")</f>
        <v/>
      </c>
      <c r="AN18" s="282"/>
      <c r="AO18" s="529" t="str">
        <f t="shared" si="19"/>
        <v/>
      </c>
      <c r="AP18" s="532" t="str">
        <f t="shared" si="25"/>
        <v/>
      </c>
      <c r="AQ18" s="515" t="str">
        <f t="shared" si="5"/>
        <v/>
      </c>
      <c r="AR18" s="516" t="str">
        <f t="shared" si="26"/>
        <v/>
      </c>
      <c r="AS18" s="515" t="str">
        <f t="shared" si="6"/>
        <v/>
      </c>
      <c r="AT18" s="285" t="str">
        <f t="shared" si="27"/>
        <v/>
      </c>
      <c r="AU18" s="512"/>
      <c r="AV18" s="527">
        <f t="shared" si="20"/>
        <v>15</v>
      </c>
      <c r="AW18" s="511" t="str">
        <f t="shared" si="28"/>
        <v>V</v>
      </c>
      <c r="AX18" s="515">
        <f t="shared" si="29"/>
        <v>2.5</v>
      </c>
      <c r="AY18" s="516">
        <f t="shared" si="30"/>
        <v>14.4</v>
      </c>
      <c r="AZ18" s="515">
        <f t="array" ref="AZ18">IF(INDEX($I$4:$I$40,MATCH($AW18,$E$4:$E$40,0))="100","",INDEX($I$4:$I$40,MATCH($AW18,$E$4:$E$40,0)))</f>
        <v>3.4</v>
      </c>
      <c r="BA18" s="285">
        <f t="shared" si="7"/>
        <v>15.840000000000002</v>
      </c>
    </row>
    <row r="19" spans="1:53" ht="24" customHeight="1">
      <c r="A19" s="38">
        <f>IF(E19&lt;&gt;"",SUMPRODUCT(--(I19&gt;$I$4:$I$40))+COUNTIF($I$4:I19,I19),"")</f>
        <v>23</v>
      </c>
      <c r="B19" s="38">
        <f>IF(E19&lt;&gt;"",SUMPRODUCT(--(G19&gt;$G$4:$G$40))+COUNTIF($G$4:G19,G19),"")</f>
        <v>23</v>
      </c>
      <c r="C19" s="506">
        <f t="shared" si="8"/>
        <v>92</v>
      </c>
      <c r="D19" s="38">
        <f>IF(E19&lt;&gt;"",COUNTIFS(I:I,"&lt;"&amp;I19)+COUNTIF($I$4:I19,I19),"")</f>
        <v>24</v>
      </c>
      <c r="E19" s="278" t="str">
        <f>IF(Liste!B18&lt;&gt;"",Liste!B18,"")</f>
        <v>P</v>
      </c>
      <c r="F19" s="279" t="str">
        <f>IF(Liste!C18&lt;&gt;"",Liste!C18,"")</f>
        <v>M</v>
      </c>
      <c r="G19" s="280">
        <f>IF(E19&lt;&gt;"",IF(Perf.Sprint!$M19&lt;&gt;"",Perf.Sprint!$M19,100),"")</f>
        <v>100</v>
      </c>
      <c r="H19" s="281">
        <f>IF(E19&lt;&gt;"",IF(Perf.Sprint!$O19&lt;&gt;"",Perf.Sprint!$O19,100),"")</f>
        <v>100</v>
      </c>
      <c r="I19" s="280">
        <f>IF(E19&lt;&gt;"",IF(Perf.Sprint!$Y19&lt;&gt;"",Perf.Sprint!$Y19,100),"")</f>
        <v>100</v>
      </c>
      <c r="J19" s="281">
        <f>IF(E19&lt;&gt;"",IF(Perf.Sprint!$AA19&lt;&gt;"",Perf.Sprint!$AA19,100),"")</f>
        <v>100</v>
      </c>
      <c r="K19" s="38">
        <v>16</v>
      </c>
      <c r="L19" s="20" t="str">
        <f t="array" ref="L19">IF(ROWS($2:17)&lt;=COUNTIF($F$4:$F$40,"F"),INDEX($E$4:$E$40,SMALL(IF($F$4:$F$40="F",MATCH($E$4:$E$40,$E$4:$E$40,0)),ROWS($2:17))),"")</f>
        <v/>
      </c>
      <c r="M19" s="38" t="str">
        <f t="shared" si="0"/>
        <v/>
      </c>
      <c r="N19" s="38" t="str">
        <f t="shared" si="1"/>
        <v/>
      </c>
      <c r="O19" s="38" t="str">
        <f t="shared" si="9"/>
        <v/>
      </c>
      <c r="P19" s="38" t="str">
        <f t="shared" si="2"/>
        <v/>
      </c>
      <c r="Q19" s="38" t="str">
        <f t="shared" si="10"/>
        <v/>
      </c>
      <c r="R19" s="38" t="str">
        <f>IF(L19&lt;&gt;"",SUMPRODUCT(--(N19&gt;$N$4:$N$40))+COUNTIF($N$4:N19,N19),"")</f>
        <v/>
      </c>
      <c r="S19" s="38" t="str">
        <f>IF(L19&lt;&gt;"",SUMPRODUCT(--(P19&gt;$P$4:$P$40))+COUNTIF($P$4:P19,P19),"")</f>
        <v/>
      </c>
      <c r="T19" s="307" t="str">
        <f t="shared" si="11"/>
        <v/>
      </c>
      <c r="U19" s="38" t="str">
        <f>IF(S19&lt;&gt;"",SUMPRODUCT(--(S19&gt;$S$4:$S$40))+COUNTIF(S$4:$S19,S19),"")</f>
        <v/>
      </c>
      <c r="V19" s="282"/>
      <c r="W19" s="527" t="str">
        <f t="shared" si="12"/>
        <v/>
      </c>
      <c r="X19" s="46" t="str">
        <f t="shared" si="21"/>
        <v/>
      </c>
      <c r="Y19" s="517" t="str">
        <f t="shared" si="22"/>
        <v/>
      </c>
      <c r="Z19" s="518" t="str">
        <f t="shared" si="23"/>
        <v/>
      </c>
      <c r="AA19" s="519" t="str">
        <f t="shared" si="13"/>
        <v/>
      </c>
      <c r="AB19" s="290" t="str">
        <f t="shared" si="24"/>
        <v/>
      </c>
      <c r="AC19" s="38">
        <v>16</v>
      </c>
      <c r="AD19" s="20" t="str">
        <f t="array" ref="AD19">IF(ROWS($2:17)&lt;=COUNTIF($F$4:$F$40,"M"),INDEX($E$4:$E$40,SMALL(IF($F$4:$F$40="M",MATCH($E$4:$E$40,$E$4:$E$40,0)),ROWS($2:17))),"")</f>
        <v/>
      </c>
      <c r="AE19" s="38" t="str">
        <f t="shared" si="4"/>
        <v/>
      </c>
      <c r="AF19" s="38" t="str">
        <f t="shared" si="14"/>
        <v/>
      </c>
      <c r="AG19" s="38" t="str">
        <f t="shared" si="15"/>
        <v/>
      </c>
      <c r="AH19" s="38" t="str">
        <f t="shared" si="16"/>
        <v/>
      </c>
      <c r="AI19" s="38" t="str">
        <f t="shared" si="17"/>
        <v/>
      </c>
      <c r="AJ19" s="38" t="str">
        <f>IF(AD19&lt;&gt;"",SUMPRODUCT(--(AF19&gt;$AF$4:$AF$40))+COUNTIF($AF$4:AF19,AF19),"")</f>
        <v/>
      </c>
      <c r="AK19" s="38" t="str">
        <f>IF(AD19&lt;&gt;"",SUMPRODUCT(--(AH19&gt;$AH$4:$AH$40))+COUNTIF($AH$4:AH19,AH19),"")</f>
        <v/>
      </c>
      <c r="AL19" s="307" t="str">
        <f t="shared" si="18"/>
        <v/>
      </c>
      <c r="AM19" s="38" t="str">
        <f>IF(AL19&lt;&gt;"",SUMPRODUCT(--(AL19&gt;$AL$4:$AL$40))+COUNTIF(AL$4:$AL19,AL19),"")</f>
        <v/>
      </c>
      <c r="AN19" s="282"/>
      <c r="AO19" s="529" t="str">
        <f t="shared" si="19"/>
        <v/>
      </c>
      <c r="AP19" s="46" t="str">
        <f t="shared" si="25"/>
        <v/>
      </c>
      <c r="AQ19" s="517" t="str">
        <f t="shared" si="5"/>
        <v/>
      </c>
      <c r="AR19" s="518" t="str">
        <f t="shared" si="26"/>
        <v/>
      </c>
      <c r="AS19" s="519" t="str">
        <f t="shared" si="6"/>
        <v/>
      </c>
      <c r="AT19" s="290" t="str">
        <f t="shared" si="27"/>
        <v/>
      </c>
      <c r="AU19" s="513"/>
      <c r="AV19" s="527">
        <f t="shared" si="20"/>
        <v>16</v>
      </c>
      <c r="AW19" s="510" t="str">
        <f t="shared" si="28"/>
        <v>Y</v>
      </c>
      <c r="AX19" s="519">
        <f t="shared" si="29"/>
        <v>2.5</v>
      </c>
      <c r="AY19" s="520">
        <f t="shared" si="30"/>
        <v>14.4</v>
      </c>
      <c r="AZ19" s="519">
        <f t="array" ref="AZ19">IF(INDEX($I$4:$I$40,MATCH($AW19,$E$4:$E$40,0))="100","",INDEX($I$4:$I$40,MATCH($AW19,$E$4:$E$40,0)))</f>
        <v>3.4</v>
      </c>
      <c r="BA19" s="290">
        <f t="shared" si="7"/>
        <v>15.840000000000002</v>
      </c>
    </row>
    <row r="20" spans="1:53" ht="24" customHeight="1">
      <c r="A20" s="38">
        <f>IF(E20&lt;&gt;"",SUMPRODUCT(--(I20&gt;$I$4:$I$40))+COUNTIF($I$4:I20,I20),"")</f>
        <v>9</v>
      </c>
      <c r="B20" s="38">
        <f>IF(E20&lt;&gt;"",SUMPRODUCT(--(G20&gt;$G$4:$G$40))+COUNTIF($G$4:G20,G20),"")</f>
        <v>10</v>
      </c>
      <c r="C20" s="506">
        <f t="shared" si="8"/>
        <v>37</v>
      </c>
      <c r="D20" s="38">
        <f>IF(E20&lt;&gt;"",COUNTIFS(I:I,"&lt;"&amp;I20)+COUNTIF($I$4:I20,I20),"")</f>
        <v>9</v>
      </c>
      <c r="E20" s="278" t="str">
        <f>IF(Liste!B19&lt;&gt;"",Liste!B19,"")</f>
        <v>Q</v>
      </c>
      <c r="F20" s="279" t="str">
        <f>IF(Liste!C19&lt;&gt;"",Liste!C19,"")</f>
        <v>F</v>
      </c>
      <c r="G20" s="280">
        <f>IF(E20&lt;&gt;"",IF(Perf.Sprint!$M20&lt;&gt;"",Perf.Sprint!$M20,100),"")</f>
        <v>2.4</v>
      </c>
      <c r="H20" s="281">
        <f>IF(E20&lt;&gt;"",IF(Perf.Sprint!$O20&lt;&gt;"",Perf.Sprint!$O20,100),"")</f>
        <v>15.12</v>
      </c>
      <c r="I20" s="280">
        <f>IF(E20&lt;&gt;"",IF(Perf.Sprint!$Y20&lt;&gt;"",Perf.Sprint!$Y20,100),"")</f>
        <v>3.2</v>
      </c>
      <c r="J20" s="281">
        <f>IF(E20&lt;&gt;"",IF(Perf.Sprint!$AA20&lt;&gt;"",Perf.Sprint!$AA20,100),"")</f>
        <v>16.920000000000002</v>
      </c>
      <c r="K20" s="38">
        <v>17</v>
      </c>
      <c r="L20" s="20" t="str">
        <f t="array" ref="L20">IF(ROWS($2:18)&lt;=COUNTIF($F$4:$F$40,"F"),INDEX($E$4:$E$40,SMALL(IF($F$4:$F$40="F",MATCH($E$4:$E$40,$E$4:$E$40,0)),ROWS($2:18))),"")</f>
        <v/>
      </c>
      <c r="M20" s="38" t="str">
        <f t="shared" si="0"/>
        <v/>
      </c>
      <c r="N20" s="38" t="str">
        <f t="shared" si="1"/>
        <v/>
      </c>
      <c r="O20" s="38" t="str">
        <f t="shared" si="9"/>
        <v/>
      </c>
      <c r="P20" s="38" t="str">
        <f t="shared" si="2"/>
        <v/>
      </c>
      <c r="Q20" s="38" t="str">
        <f t="shared" si="10"/>
        <v/>
      </c>
      <c r="R20" s="38" t="str">
        <f>IF(L20&lt;&gt;"",SUMPRODUCT(--(N20&gt;$N$4:$N$40))+COUNTIF($N$4:N20,N20),"")</f>
        <v/>
      </c>
      <c r="S20" s="38" t="str">
        <f>IF(L20&lt;&gt;"",SUMPRODUCT(--(P20&gt;$P$4:$P$40))+COUNTIF($P$4:P20,P20),"")</f>
        <v/>
      </c>
      <c r="T20" s="307" t="str">
        <f t="shared" si="11"/>
        <v/>
      </c>
      <c r="U20" s="38" t="str">
        <f>IF(S20&lt;&gt;"",SUMPRODUCT(--(S20&gt;$S$4:$S$40))+COUNTIF(S$4:$S20,S20),"")</f>
        <v/>
      </c>
      <c r="V20" s="282"/>
      <c r="W20" s="527" t="str">
        <f t="shared" si="12"/>
        <v/>
      </c>
      <c r="X20" s="532" t="str">
        <f t="shared" si="21"/>
        <v/>
      </c>
      <c r="Y20" s="515" t="str">
        <f t="shared" si="22"/>
        <v/>
      </c>
      <c r="Z20" s="516" t="str">
        <f t="shared" si="23"/>
        <v/>
      </c>
      <c r="AA20" s="515" t="str">
        <f t="shared" si="13"/>
        <v/>
      </c>
      <c r="AB20" s="285" t="str">
        <f t="shared" si="24"/>
        <v/>
      </c>
      <c r="AC20" s="38">
        <v>17</v>
      </c>
      <c r="AD20" s="20" t="str">
        <f t="array" ref="AD20">IF(ROWS($2:18)&lt;=COUNTIF($F$4:$F$40,"M"),INDEX($E$4:$E$40,SMALL(IF($F$4:$F$40="M",MATCH($E$4:$E$40,$E$4:$E$40,0)),ROWS($2:18))),"")</f>
        <v/>
      </c>
      <c r="AE20" s="38" t="str">
        <f t="shared" si="4"/>
        <v/>
      </c>
      <c r="AF20" s="38" t="str">
        <f t="shared" si="14"/>
        <v/>
      </c>
      <c r="AG20" s="38" t="str">
        <f t="shared" si="15"/>
        <v/>
      </c>
      <c r="AH20" s="38" t="str">
        <f t="shared" si="16"/>
        <v/>
      </c>
      <c r="AI20" s="38" t="str">
        <f t="shared" si="17"/>
        <v/>
      </c>
      <c r="AJ20" s="38" t="str">
        <f>IF(AD20&lt;&gt;"",SUMPRODUCT(--(AF20&gt;$AF$4:$AF$40))+COUNTIF($AF$4:AF20,AF20),"")</f>
        <v/>
      </c>
      <c r="AK20" s="38" t="str">
        <f>IF(AD20&lt;&gt;"",SUMPRODUCT(--(AH20&gt;$AH$4:$AH$40))+COUNTIF($AH$4:AH20,AH20),"")</f>
        <v/>
      </c>
      <c r="AL20" s="307" t="str">
        <f t="shared" si="18"/>
        <v/>
      </c>
      <c r="AM20" s="38" t="str">
        <f>IF(AL20&lt;&gt;"",SUMPRODUCT(--(AL20&gt;$AL$4:$AL$40))+COUNTIF(AL$4:$AL20,AL20),"")</f>
        <v/>
      </c>
      <c r="AN20" s="282"/>
      <c r="AO20" s="529" t="str">
        <f t="shared" si="19"/>
        <v/>
      </c>
      <c r="AP20" s="532" t="str">
        <f t="shared" si="25"/>
        <v/>
      </c>
      <c r="AQ20" s="515" t="str">
        <f t="shared" si="5"/>
        <v/>
      </c>
      <c r="AR20" s="516" t="str">
        <f t="shared" si="26"/>
        <v/>
      </c>
      <c r="AS20" s="515" t="str">
        <f t="shared" si="6"/>
        <v/>
      </c>
      <c r="AT20" s="285" t="str">
        <f t="shared" si="27"/>
        <v/>
      </c>
      <c r="AU20" s="512"/>
      <c r="AV20" s="527">
        <f t="shared" si="20"/>
        <v>17</v>
      </c>
      <c r="AW20" s="511" t="str">
        <f t="shared" si="28"/>
        <v>O</v>
      </c>
      <c r="AX20" s="515">
        <f t="shared" si="29"/>
        <v>2.6</v>
      </c>
      <c r="AY20" s="516">
        <f t="shared" si="30"/>
        <v>13.68</v>
      </c>
      <c r="AZ20" s="515">
        <f t="array" ref="AZ20">IF(INDEX($I$4:$I$40,MATCH($AW20,$E$4:$E$40,0))="100","",INDEX($I$4:$I$40,MATCH($AW20,$E$4:$E$40,0)))</f>
        <v>3.5</v>
      </c>
      <c r="BA20" s="285">
        <f t="shared" si="7"/>
        <v>15.48</v>
      </c>
    </row>
    <row r="21" spans="1:53" ht="24" customHeight="1">
      <c r="A21" s="38">
        <f>IF(E21&lt;&gt;"",SUMPRODUCT(--(I21&gt;$I$4:$I$40))+COUNTIF($I$4:I21,I21),"")</f>
        <v>10</v>
      </c>
      <c r="B21" s="38">
        <f>IF(E21&lt;&gt;"",SUMPRODUCT(--(G21&gt;$G$4:$G$40))+COUNTIF($G$4:G21,G21),"")</f>
        <v>11</v>
      </c>
      <c r="C21" s="506">
        <f t="shared" si="8"/>
        <v>41</v>
      </c>
      <c r="D21" s="38">
        <f>IF(E21&lt;&gt;"",COUNTIFS(I:I,"&lt;"&amp;I21)+COUNTIF($I$4:I21,I21),"")</f>
        <v>10</v>
      </c>
      <c r="E21" s="278" t="str">
        <f>IF(Liste!B20&lt;&gt;"",Liste!B20,"")</f>
        <v>R</v>
      </c>
      <c r="F21" s="279" t="str">
        <f>IF(Liste!C20&lt;&gt;"",Liste!C20,"")</f>
        <v>F</v>
      </c>
      <c r="G21" s="280">
        <f>IF(E21&lt;&gt;"",IF(Perf.Sprint!$M21&lt;&gt;"",Perf.Sprint!$M21,100),"")</f>
        <v>2.4</v>
      </c>
      <c r="H21" s="281">
        <f>IF(E21&lt;&gt;"",IF(Perf.Sprint!$O21&lt;&gt;"",Perf.Sprint!$O21,100),"")</f>
        <v>15.12</v>
      </c>
      <c r="I21" s="280">
        <f>IF(E21&lt;&gt;"",IF(Perf.Sprint!$Y21&lt;&gt;"",Perf.Sprint!$Y21,100),"")</f>
        <v>3.2</v>
      </c>
      <c r="J21" s="281">
        <f>IF(E21&lt;&gt;"",IF(Perf.Sprint!$AA21&lt;&gt;"",Perf.Sprint!$AA21,100),"")</f>
        <v>16.920000000000002</v>
      </c>
      <c r="K21" s="38">
        <v>18</v>
      </c>
      <c r="L21" s="20" t="str">
        <f t="array" ref="L21">IF(ROWS($2:19)&lt;=COUNTIF($F$4:$F$40,"F"),INDEX($E$4:$E$40,SMALL(IF($F$4:$F$40="F",MATCH($E$4:$E$40,$E$4:$E$40,0)),ROWS($2:19))),"")</f>
        <v/>
      </c>
      <c r="M21" s="38" t="str">
        <f t="shared" si="0"/>
        <v/>
      </c>
      <c r="N21" s="38" t="str">
        <f t="shared" si="1"/>
        <v/>
      </c>
      <c r="O21" s="38" t="str">
        <f t="shared" si="9"/>
        <v/>
      </c>
      <c r="P21" s="38" t="str">
        <f t="shared" si="2"/>
        <v/>
      </c>
      <c r="Q21" s="38" t="str">
        <f t="shared" si="10"/>
        <v/>
      </c>
      <c r="R21" s="38" t="str">
        <f>IF(L21&lt;&gt;"",SUMPRODUCT(--(N21&gt;$N$4:$N$40))+COUNTIF($N$4:N21,N21),"")</f>
        <v/>
      </c>
      <c r="S21" s="38" t="str">
        <f>IF(L21&lt;&gt;"",SUMPRODUCT(--(P21&gt;$P$4:$P$40))+COUNTIF($P$4:P21,P21),"")</f>
        <v/>
      </c>
      <c r="T21" s="307" t="str">
        <f t="shared" si="11"/>
        <v/>
      </c>
      <c r="U21" s="38" t="str">
        <f>IF(S21&lt;&gt;"",SUMPRODUCT(--(S21&gt;$S$4:$S$40))+COUNTIF(S$4:$S21,S21),"")</f>
        <v/>
      </c>
      <c r="V21" s="282"/>
      <c r="W21" s="527" t="str">
        <f t="shared" si="12"/>
        <v/>
      </c>
      <c r="X21" s="46" t="str">
        <f t="shared" si="21"/>
        <v/>
      </c>
      <c r="Y21" s="517" t="str">
        <f t="shared" si="22"/>
        <v/>
      </c>
      <c r="Z21" s="518" t="str">
        <f t="shared" si="23"/>
        <v/>
      </c>
      <c r="AA21" s="519" t="str">
        <f t="shared" si="13"/>
        <v/>
      </c>
      <c r="AB21" s="290" t="str">
        <f t="shared" si="24"/>
        <v/>
      </c>
      <c r="AC21" s="38">
        <v>18</v>
      </c>
      <c r="AD21" s="20" t="str">
        <f t="array" ref="AD21">IF(ROWS($2:19)&lt;=COUNTIF($F$4:$F$40,"M"),INDEX($E$4:$E$40,SMALL(IF($F$4:$F$40="M",MATCH($E$4:$E$40,$E$4:$E$40,0)),ROWS($2:19))),"")</f>
        <v/>
      </c>
      <c r="AE21" s="38" t="str">
        <f t="shared" si="4"/>
        <v/>
      </c>
      <c r="AF21" s="38" t="str">
        <f t="shared" si="14"/>
        <v/>
      </c>
      <c r="AG21" s="38" t="str">
        <f t="shared" si="15"/>
        <v/>
      </c>
      <c r="AH21" s="38" t="str">
        <f t="shared" si="16"/>
        <v/>
      </c>
      <c r="AI21" s="38" t="str">
        <f t="shared" si="17"/>
        <v/>
      </c>
      <c r="AJ21" s="38" t="str">
        <f>IF(AD21&lt;&gt;"",SUMPRODUCT(--(AF21&gt;$AF$4:$AF$40))+COUNTIF($AF$4:AF21,AF21),"")</f>
        <v/>
      </c>
      <c r="AK21" s="38" t="str">
        <f>IF(AD21&lt;&gt;"",SUMPRODUCT(--(AH21&gt;$AH$4:$AH$40))+COUNTIF($AH$4:AH21,AH21),"")</f>
        <v/>
      </c>
      <c r="AL21" s="307" t="str">
        <f t="shared" si="18"/>
        <v/>
      </c>
      <c r="AM21" s="38" t="str">
        <f>IF(AL21&lt;&gt;"",SUMPRODUCT(--(AL21&gt;$AL$4:$AL$40))+COUNTIF(AL$4:$AL21,AL21),"")</f>
        <v/>
      </c>
      <c r="AN21" s="282"/>
      <c r="AO21" s="529" t="str">
        <f t="shared" si="19"/>
        <v/>
      </c>
      <c r="AP21" s="46" t="str">
        <f t="shared" si="25"/>
        <v/>
      </c>
      <c r="AQ21" s="517" t="str">
        <f t="shared" si="5"/>
        <v/>
      </c>
      <c r="AR21" s="518" t="str">
        <f t="shared" si="26"/>
        <v/>
      </c>
      <c r="AS21" s="519" t="str">
        <f t="shared" si="6"/>
        <v/>
      </c>
      <c r="AT21" s="290" t="str">
        <f t="shared" si="27"/>
        <v/>
      </c>
      <c r="AU21" s="513"/>
      <c r="AV21" s="527">
        <f t="shared" si="20"/>
        <v>18</v>
      </c>
      <c r="AW21" s="510" t="str">
        <f t="shared" si="28"/>
        <v>T</v>
      </c>
      <c r="AX21" s="519">
        <f t="shared" si="29"/>
        <v>2.6</v>
      </c>
      <c r="AY21" s="520">
        <f t="shared" si="30"/>
        <v>13.68</v>
      </c>
      <c r="AZ21" s="519">
        <f t="array" ref="AZ21">IF(INDEX($I$4:$I$40,MATCH($AW21,$E$4:$E$40,0))="100","",INDEX($I$4:$I$40,MATCH($AW21,$E$4:$E$40,0)))</f>
        <v>3.6</v>
      </c>
      <c r="BA21" s="290">
        <f t="shared" si="7"/>
        <v>15.12</v>
      </c>
    </row>
    <row r="22" spans="1:53" ht="24" customHeight="1">
      <c r="A22" s="38">
        <f>IF(E22&lt;&gt;"",SUMPRODUCT(--(I22&gt;$I$4:$I$40))+COUNTIF($I$4:I22,I22),"")</f>
        <v>24</v>
      </c>
      <c r="B22" s="38">
        <f>IF(E22&lt;&gt;"",SUMPRODUCT(--(G22&gt;$G$4:$G$40))+COUNTIF($G$4:G22,G22),"")</f>
        <v>24</v>
      </c>
      <c r="C22" s="506">
        <f t="shared" si="8"/>
        <v>96</v>
      </c>
      <c r="D22" s="38">
        <f>IF(E22&lt;&gt;"",COUNTIFS(I:I,"&lt;"&amp;I22)+COUNTIF($I$4:I22,I22),"")</f>
        <v>25</v>
      </c>
      <c r="E22" s="278" t="str">
        <f>IF(Liste!B21&lt;&gt;"",Liste!B21,"")</f>
        <v>S</v>
      </c>
      <c r="F22" s="279" t="str">
        <f>IF(Liste!C21&lt;&gt;"",Liste!C21,"")</f>
        <v>F</v>
      </c>
      <c r="G22" s="280">
        <f>IF(E22&lt;&gt;"",IF(Perf.Sprint!$M22&lt;&gt;"",Perf.Sprint!$M22,100),"")</f>
        <v>100</v>
      </c>
      <c r="H22" s="281">
        <f>IF(E22&lt;&gt;"",IF(Perf.Sprint!$O22&lt;&gt;"",Perf.Sprint!$O22,100),"")</f>
        <v>100</v>
      </c>
      <c r="I22" s="280">
        <f>IF(E22&lt;&gt;"",IF(Perf.Sprint!$Y22&lt;&gt;"",Perf.Sprint!$Y22,100),"")</f>
        <v>100</v>
      </c>
      <c r="J22" s="281">
        <f>IF(E22&lt;&gt;"",IF(Perf.Sprint!$AA22&lt;&gt;"",Perf.Sprint!$AA22,100),"")</f>
        <v>100</v>
      </c>
      <c r="K22" s="38">
        <v>19</v>
      </c>
      <c r="L22" s="20" t="str">
        <f t="array" ref="L22">IF(ROWS($2:20)&lt;=COUNTIF($F$4:$F$40,"F"),INDEX($E$4:$E$40,SMALL(IF($F$4:$F$40="F",MATCH($E$4:$E$40,$E$4:$E$40,0)),ROWS($2:20))),"")</f>
        <v/>
      </c>
      <c r="M22" s="38" t="str">
        <f t="shared" si="0"/>
        <v/>
      </c>
      <c r="N22" s="38" t="str">
        <f t="shared" si="1"/>
        <v/>
      </c>
      <c r="O22" s="38" t="str">
        <f t="shared" si="9"/>
        <v/>
      </c>
      <c r="P22" s="38" t="str">
        <f t="shared" si="2"/>
        <v/>
      </c>
      <c r="Q22" s="38" t="str">
        <f t="shared" si="10"/>
        <v/>
      </c>
      <c r="R22" s="38" t="str">
        <f>IF(L22&lt;&gt;"",SUMPRODUCT(--(N22&gt;$N$4:$N$40))+COUNTIF($N$4:N22,N22),"")</f>
        <v/>
      </c>
      <c r="S22" s="38" t="str">
        <f>IF(L22&lt;&gt;"",SUMPRODUCT(--(P22&gt;$P$4:$P$40))+COUNTIF($P$4:P22,P22),"")</f>
        <v/>
      </c>
      <c r="T22" s="307" t="str">
        <f t="shared" si="11"/>
        <v/>
      </c>
      <c r="U22" s="38" t="str">
        <f>IF(S22&lt;&gt;"",SUMPRODUCT(--(S22&gt;$S$4:$S$40))+COUNTIF(S$4:$S22,S22),"")</f>
        <v/>
      </c>
      <c r="V22" s="282"/>
      <c r="W22" s="527" t="str">
        <f t="shared" si="12"/>
        <v/>
      </c>
      <c r="X22" s="532" t="str">
        <f t="shared" si="21"/>
        <v/>
      </c>
      <c r="Y22" s="515" t="str">
        <f t="shared" si="22"/>
        <v/>
      </c>
      <c r="Z22" s="516" t="str">
        <f t="shared" si="23"/>
        <v/>
      </c>
      <c r="AA22" s="515" t="str">
        <f t="shared" si="13"/>
        <v/>
      </c>
      <c r="AB22" s="285" t="str">
        <f t="shared" si="24"/>
        <v/>
      </c>
      <c r="AC22" s="38">
        <v>19</v>
      </c>
      <c r="AD22" s="20" t="str">
        <f t="array" ref="AD22">IF(ROWS($2:20)&lt;=COUNTIF($F$4:$F$40,"M"),INDEX($E$4:$E$40,SMALL(IF($F$4:$F$40="M",MATCH($E$4:$E$40,$E$4:$E$40,0)),ROWS($2:20))),"")</f>
        <v/>
      </c>
      <c r="AE22" s="38" t="str">
        <f t="shared" si="4"/>
        <v/>
      </c>
      <c r="AF22" s="38" t="str">
        <f t="shared" si="14"/>
        <v/>
      </c>
      <c r="AG22" s="38" t="str">
        <f t="shared" si="15"/>
        <v/>
      </c>
      <c r="AH22" s="38" t="str">
        <f t="shared" si="16"/>
        <v/>
      </c>
      <c r="AI22" s="38" t="str">
        <f t="shared" si="17"/>
        <v/>
      </c>
      <c r="AJ22" s="38" t="str">
        <f>IF(AD22&lt;&gt;"",SUMPRODUCT(--(AF22&gt;$AF$4:$AF$40))+COUNTIF($AF$4:AF22,AF22),"")</f>
        <v/>
      </c>
      <c r="AK22" s="38" t="str">
        <f>IF(AD22&lt;&gt;"",SUMPRODUCT(--(AH22&gt;$AH$4:$AH$40))+COUNTIF($AH$4:AH22,AH22),"")</f>
        <v/>
      </c>
      <c r="AL22" s="307" t="str">
        <f t="shared" si="18"/>
        <v/>
      </c>
      <c r="AM22" s="38" t="str">
        <f>IF(AL22&lt;&gt;"",SUMPRODUCT(--(AL22&gt;$AL$4:$AL$40))+COUNTIF(AL$4:$AL22,AL22),"")</f>
        <v/>
      </c>
      <c r="AN22" s="282"/>
      <c r="AO22" s="529" t="str">
        <f t="shared" si="19"/>
        <v/>
      </c>
      <c r="AP22" s="532" t="str">
        <f t="shared" si="25"/>
        <v/>
      </c>
      <c r="AQ22" s="515" t="str">
        <f t="shared" si="5"/>
        <v/>
      </c>
      <c r="AR22" s="516" t="str">
        <f t="shared" si="26"/>
        <v/>
      </c>
      <c r="AS22" s="515" t="str">
        <f t="shared" si="6"/>
        <v/>
      </c>
      <c r="AT22" s="285" t="str">
        <f t="shared" si="27"/>
        <v/>
      </c>
      <c r="AU22" s="512"/>
      <c r="AV22" s="527">
        <f t="shared" si="20"/>
        <v>19</v>
      </c>
      <c r="AW22" s="511" t="str">
        <f t="shared" si="28"/>
        <v>U</v>
      </c>
      <c r="AX22" s="515">
        <f t="shared" si="29"/>
        <v>2.7</v>
      </c>
      <c r="AY22" s="516">
        <f t="shared" si="30"/>
        <v>13.32</v>
      </c>
      <c r="AZ22" s="515">
        <f t="array" ref="AZ22">IF(INDEX($I$4:$I$40,MATCH($AW22,$E$4:$E$40,0))="100","",INDEX($I$4:$I$40,MATCH($AW22,$E$4:$E$40,0)))</f>
        <v>3.6</v>
      </c>
      <c r="BA22" s="285">
        <f t="shared" si="7"/>
        <v>15.12</v>
      </c>
    </row>
    <row r="23" spans="1:53" ht="24" customHeight="1">
      <c r="A23" s="38">
        <f>IF(E23&lt;&gt;"",SUMPRODUCT(--(I23&gt;$I$4:$I$40))+COUNTIF($I$4:I23,I23),"")</f>
        <v>18</v>
      </c>
      <c r="B23" s="38">
        <f>IF(E23&lt;&gt;"",SUMPRODUCT(--(G23&gt;$G$4:$G$40))+COUNTIF($G$4:G23,G23),"")</f>
        <v>18</v>
      </c>
      <c r="C23" s="506">
        <f t="shared" si="8"/>
        <v>72</v>
      </c>
      <c r="D23" s="38">
        <f>IF(E23&lt;&gt;"",COUNTIFS(I:I,"&lt;"&amp;I23)+COUNTIF($I$4:I23,I23),"")</f>
        <v>18</v>
      </c>
      <c r="E23" s="278" t="str">
        <f>IF(Liste!B22&lt;&gt;"",Liste!B22,"")</f>
        <v>T</v>
      </c>
      <c r="F23" s="279" t="str">
        <f>IF(Liste!C22&lt;&gt;"",Liste!C22,"")</f>
        <v>F</v>
      </c>
      <c r="G23" s="280">
        <f>IF(E23&lt;&gt;"",IF(Perf.Sprint!$M23&lt;&gt;"",Perf.Sprint!$M23,100),"")</f>
        <v>2.6</v>
      </c>
      <c r="H23" s="281">
        <f>IF(E23&lt;&gt;"",IF(Perf.Sprint!$O23&lt;&gt;"",Perf.Sprint!$O23,100),"")</f>
        <v>13.68</v>
      </c>
      <c r="I23" s="280">
        <f>IF(E23&lt;&gt;"",IF(Perf.Sprint!$Y23&lt;&gt;"",Perf.Sprint!$Y23,100),"")</f>
        <v>3.6</v>
      </c>
      <c r="J23" s="281">
        <f>IF(E23&lt;&gt;"",IF(Perf.Sprint!$AA23&lt;&gt;"",Perf.Sprint!$AA23,100),"")</f>
        <v>15.12</v>
      </c>
      <c r="K23" s="38">
        <v>20</v>
      </c>
      <c r="L23" s="20" t="str">
        <f t="array" ref="L23">IF(ROWS($2:21)&lt;=COUNTIF($F$4:$F$40,"F"),INDEX($E$4:$E$40,SMALL(IF($F$4:$F$40="F",MATCH($E$4:$E$40,$E$4:$E$40,0)),ROWS($2:21))),"")</f>
        <v/>
      </c>
      <c r="M23" s="38" t="str">
        <f t="shared" si="0"/>
        <v/>
      </c>
      <c r="N23" s="38" t="str">
        <f t="shared" si="1"/>
        <v/>
      </c>
      <c r="O23" s="38" t="str">
        <f t="shared" si="9"/>
        <v/>
      </c>
      <c r="P23" s="38" t="str">
        <f t="shared" si="2"/>
        <v/>
      </c>
      <c r="Q23" s="38" t="str">
        <f t="shared" si="10"/>
        <v/>
      </c>
      <c r="R23" s="38" t="str">
        <f>IF(L23&lt;&gt;"",SUMPRODUCT(--(N23&gt;$N$4:$N$40))+COUNTIF($N$4:N23,N23),"")</f>
        <v/>
      </c>
      <c r="S23" s="38" t="str">
        <f>IF(L23&lt;&gt;"",SUMPRODUCT(--(P23&gt;$P$4:$P$40))+COUNTIF($P$4:P23,P23),"")</f>
        <v/>
      </c>
      <c r="T23" s="307" t="str">
        <f t="shared" si="11"/>
        <v/>
      </c>
      <c r="U23" s="38" t="str">
        <f>IF(S23&lt;&gt;"",SUMPRODUCT(--(S23&gt;$S$4:$S$40))+COUNTIF(S$4:$S23,S23),"")</f>
        <v/>
      </c>
      <c r="V23" s="282"/>
      <c r="W23" s="527" t="str">
        <f t="shared" si="12"/>
        <v/>
      </c>
      <c r="X23" s="46" t="str">
        <f t="shared" si="21"/>
        <v/>
      </c>
      <c r="Y23" s="517" t="str">
        <f t="shared" si="22"/>
        <v/>
      </c>
      <c r="Z23" s="518" t="str">
        <f t="shared" si="23"/>
        <v/>
      </c>
      <c r="AA23" s="519" t="str">
        <f t="shared" si="13"/>
        <v/>
      </c>
      <c r="AB23" s="290" t="str">
        <f t="shared" si="24"/>
        <v/>
      </c>
      <c r="AC23" s="38">
        <v>20</v>
      </c>
      <c r="AD23" s="20" t="str">
        <f t="array" ref="AD23">IF(ROWS($2:21)&lt;=COUNTIF($F$4:$F$40,"M"),INDEX($E$4:$E$40,SMALL(IF($F$4:$F$40="M",MATCH($E$4:$E$40,$E$4:$E$40,0)),ROWS($2:21))),"")</f>
        <v/>
      </c>
      <c r="AE23" s="38" t="str">
        <f t="shared" si="4"/>
        <v/>
      </c>
      <c r="AF23" s="38" t="str">
        <f t="shared" si="14"/>
        <v/>
      </c>
      <c r="AG23" s="38" t="str">
        <f t="shared" si="15"/>
        <v/>
      </c>
      <c r="AH23" s="38" t="str">
        <f t="shared" si="16"/>
        <v/>
      </c>
      <c r="AI23" s="38" t="str">
        <f t="shared" si="17"/>
        <v/>
      </c>
      <c r="AJ23" s="38" t="str">
        <f>IF(AD23&lt;&gt;"",SUMPRODUCT(--(AF23&gt;$AF$4:$AF$40))+COUNTIF($AF$4:AF23,AF23),"")</f>
        <v/>
      </c>
      <c r="AK23" s="38" t="str">
        <f>IF(AD23&lt;&gt;"",SUMPRODUCT(--(AH23&gt;$AH$4:$AH$40))+COUNTIF($AH$4:AH23,AH23),"")</f>
        <v/>
      </c>
      <c r="AL23" s="307" t="str">
        <f t="shared" si="18"/>
        <v/>
      </c>
      <c r="AM23" s="38" t="str">
        <f>IF(AL23&lt;&gt;"",SUMPRODUCT(--(AL23&gt;$AL$4:$AL$40))+COUNTIF(AL$4:$AL23,AL23),"")</f>
        <v/>
      </c>
      <c r="AN23" s="282"/>
      <c r="AO23" s="529" t="str">
        <f t="shared" si="19"/>
        <v/>
      </c>
      <c r="AP23" s="46" t="str">
        <f t="shared" si="25"/>
        <v/>
      </c>
      <c r="AQ23" s="517" t="str">
        <f t="shared" si="5"/>
        <v/>
      </c>
      <c r="AR23" s="518" t="str">
        <f t="shared" si="26"/>
        <v/>
      </c>
      <c r="AS23" s="519" t="str">
        <f t="shared" si="6"/>
        <v/>
      </c>
      <c r="AT23" s="290" t="str">
        <f t="shared" si="27"/>
        <v/>
      </c>
      <c r="AU23" s="513"/>
      <c r="AV23" s="527">
        <f t="shared" si="20"/>
        <v>21</v>
      </c>
      <c r="AW23" s="510" t="str">
        <f t="shared" si="28"/>
        <v>A</v>
      </c>
      <c r="AX23" s="519">
        <f t="shared" si="29"/>
        <v>100</v>
      </c>
      <c r="AY23" s="520" t="str">
        <f t="shared" si="30"/>
        <v/>
      </c>
      <c r="AZ23" s="519">
        <f t="array" ref="AZ23">IF(INDEX($I$4:$I$40,MATCH($AW23,$E$4:$E$40,0))="100","",INDEX($I$4:$I$40,MATCH($AW23,$E$4:$E$40,0)))</f>
        <v>100</v>
      </c>
      <c r="BA23" s="290" t="str">
        <f t="shared" si="7"/>
        <v/>
      </c>
    </row>
    <row r="24" spans="1:53" ht="24" customHeight="1">
      <c r="A24" s="38">
        <f>IF(E24&lt;&gt;"",SUMPRODUCT(--(I24&gt;$I$4:$I$40))+COUNTIF($I$4:I24,I24),"")</f>
        <v>19</v>
      </c>
      <c r="B24" s="38">
        <f>IF(E24&lt;&gt;"",SUMPRODUCT(--(G24&gt;$G$4:$G$40))+COUNTIF($G$4:G24,G24),"")</f>
        <v>19</v>
      </c>
      <c r="C24" s="506">
        <f t="shared" si="8"/>
        <v>76</v>
      </c>
      <c r="D24" s="38">
        <f>IF(E24&lt;&gt;"",COUNTIFS(I:I,"&lt;"&amp;I24)+COUNTIF($I$4:I24,I24),"")</f>
        <v>19</v>
      </c>
      <c r="E24" s="278" t="str">
        <f>IF(Liste!B23&lt;&gt;"",Liste!B23,"")</f>
        <v>U</v>
      </c>
      <c r="F24" s="279" t="str">
        <f>IF(Liste!C23&lt;&gt;"",Liste!C23,"")</f>
        <v>F</v>
      </c>
      <c r="G24" s="280">
        <f>IF(E24&lt;&gt;"",IF(Perf.Sprint!$M24&lt;&gt;"",Perf.Sprint!$M24,100),"")</f>
        <v>2.7</v>
      </c>
      <c r="H24" s="281">
        <f>IF(E24&lt;&gt;"",IF(Perf.Sprint!$O24&lt;&gt;"",Perf.Sprint!$O24,100),"")</f>
        <v>13.32</v>
      </c>
      <c r="I24" s="280">
        <f>IF(E24&lt;&gt;"",IF(Perf.Sprint!$Y24&lt;&gt;"",Perf.Sprint!$Y24,100),"")</f>
        <v>3.6</v>
      </c>
      <c r="J24" s="281">
        <f>IF(E24&lt;&gt;"",IF(Perf.Sprint!$AA24&lt;&gt;"",Perf.Sprint!$AA24,100),"")</f>
        <v>15.12</v>
      </c>
      <c r="K24" s="38">
        <v>21</v>
      </c>
      <c r="L24" s="20" t="str">
        <f t="array" ref="L24">IF(ROWS($2:22)&lt;=COUNTIF($F$4:$F$40,"F"),INDEX($E$4:$E$40,SMALL(IF($F$4:$F$40="F",MATCH($E$4:$E$40,$E$4:$E$40,0)),ROWS($2:22))),"")</f>
        <v/>
      </c>
      <c r="M24" s="38" t="str">
        <f t="shared" si="0"/>
        <v/>
      </c>
      <c r="N24" s="38" t="str">
        <f t="shared" si="1"/>
        <v/>
      </c>
      <c r="O24" s="38" t="str">
        <f t="shared" si="9"/>
        <v/>
      </c>
      <c r="P24" s="38" t="str">
        <f t="shared" si="2"/>
        <v/>
      </c>
      <c r="Q24" s="38" t="str">
        <f t="shared" si="10"/>
        <v/>
      </c>
      <c r="R24" s="38" t="str">
        <f>IF(L24&lt;&gt;"",SUMPRODUCT(--(N24&gt;$N$4:$N$40))+COUNTIF($N$4:N24,N24),"")</f>
        <v/>
      </c>
      <c r="S24" s="38" t="str">
        <f>IF(L24&lt;&gt;"",SUMPRODUCT(--(P24&gt;$P$4:$P$40))+COUNTIF($P$4:P24,P24),"")</f>
        <v/>
      </c>
      <c r="T24" s="307" t="str">
        <f t="shared" si="11"/>
        <v/>
      </c>
      <c r="U24" s="38" t="str">
        <f>IF(S24&lt;&gt;"",SUMPRODUCT(--(S24&gt;$S$4:$S$40))+COUNTIF(S$4:$S24,S24),"")</f>
        <v/>
      </c>
      <c r="V24" s="282"/>
      <c r="W24" s="527" t="str">
        <f t="shared" si="12"/>
        <v/>
      </c>
      <c r="X24" s="532" t="str">
        <f t="shared" si="21"/>
        <v/>
      </c>
      <c r="Y24" s="515" t="str">
        <f t="shared" si="22"/>
        <v/>
      </c>
      <c r="Z24" s="516" t="str">
        <f t="shared" si="23"/>
        <v/>
      </c>
      <c r="AA24" s="515" t="str">
        <f t="shared" si="13"/>
        <v/>
      </c>
      <c r="AB24" s="285" t="str">
        <f t="shared" si="24"/>
        <v/>
      </c>
      <c r="AC24" s="38">
        <v>21</v>
      </c>
      <c r="AD24" s="20" t="str">
        <f t="array" ref="AD24">IF(ROWS($2:22)&lt;=COUNTIF($F$4:$F$40,"M"),INDEX($E$4:$E$40,SMALL(IF($F$4:$F$40="M",MATCH($E$4:$E$40,$E$4:$E$40,0)),ROWS($2:22))),"")</f>
        <v/>
      </c>
      <c r="AE24" s="38" t="str">
        <f t="shared" si="4"/>
        <v/>
      </c>
      <c r="AF24" s="38" t="str">
        <f t="shared" si="14"/>
        <v/>
      </c>
      <c r="AG24" s="38" t="str">
        <f t="shared" si="15"/>
        <v/>
      </c>
      <c r="AH24" s="38" t="str">
        <f t="shared" si="16"/>
        <v/>
      </c>
      <c r="AI24" s="38" t="str">
        <f t="shared" si="17"/>
        <v/>
      </c>
      <c r="AJ24" s="38" t="str">
        <f>IF(AD24&lt;&gt;"",SUMPRODUCT(--(AF24&gt;$AF$4:$AF$40))+COUNTIF($AF$4:AF24,AF24),"")</f>
        <v/>
      </c>
      <c r="AK24" s="38" t="str">
        <f>IF(AD24&lt;&gt;"",SUMPRODUCT(--(AH24&gt;$AH$4:$AH$40))+COUNTIF($AH$4:AH24,AH24),"")</f>
        <v/>
      </c>
      <c r="AL24" s="307" t="str">
        <f t="shared" si="18"/>
        <v/>
      </c>
      <c r="AM24" s="38" t="str">
        <f>IF(AL24&lt;&gt;"",SUMPRODUCT(--(AL24&gt;$AL$4:$AL$40))+COUNTIF(AL$4:$AL24,AL24),"")</f>
        <v/>
      </c>
      <c r="AN24" s="282"/>
      <c r="AO24" s="529" t="str">
        <f t="shared" si="19"/>
        <v/>
      </c>
      <c r="AP24" s="532" t="str">
        <f t="shared" si="25"/>
        <v/>
      </c>
      <c r="AQ24" s="515" t="str">
        <f t="shared" si="5"/>
        <v/>
      </c>
      <c r="AR24" s="516" t="str">
        <f t="shared" si="26"/>
        <v/>
      </c>
      <c r="AS24" s="515" t="str">
        <f t="shared" si="6"/>
        <v/>
      </c>
      <c r="AT24" s="285" t="str">
        <f t="shared" si="27"/>
        <v/>
      </c>
      <c r="AU24" s="512"/>
      <c r="AV24" s="527">
        <f t="shared" si="20"/>
        <v>22</v>
      </c>
      <c r="AW24" s="511" t="str">
        <f t="shared" si="28"/>
        <v>I</v>
      </c>
      <c r="AX24" s="515">
        <f t="shared" si="29"/>
        <v>100</v>
      </c>
      <c r="AY24" s="516" t="str">
        <f t="shared" si="30"/>
        <v/>
      </c>
      <c r="AZ24" s="515">
        <f t="array" ref="AZ24">IF(INDEX($I$4:$I$40,MATCH($AW24,$E$4:$E$40,0))="100","",INDEX($I$4:$I$40,MATCH($AW24,$E$4:$E$40,0)))</f>
        <v>100</v>
      </c>
      <c r="BA24" s="285" t="str">
        <f t="shared" si="7"/>
        <v/>
      </c>
    </row>
    <row r="25" spans="1:53" ht="24" customHeight="1">
      <c r="A25" s="38">
        <f>IF(E25&lt;&gt;"",SUMPRODUCT(--(I25&gt;$I$4:$I$40))+COUNTIF($I$4:I25,I25),"")</f>
        <v>15</v>
      </c>
      <c r="B25" s="38">
        <f>IF(E25&lt;&gt;"",SUMPRODUCT(--(G25&gt;$G$4:$G$40))+COUNTIF($G$4:G25,G25),"")</f>
        <v>14</v>
      </c>
      <c r="C25" s="506">
        <f t="shared" si="8"/>
        <v>59</v>
      </c>
      <c r="D25" s="38">
        <f>IF(E25&lt;&gt;"",COUNTIFS(I:I,"&lt;"&amp;I25)+COUNTIF($I$4:I25,I25),"")</f>
        <v>15</v>
      </c>
      <c r="E25" s="278" t="str">
        <f>IF(Liste!B24&lt;&gt;"",Liste!B24,"")</f>
        <v>V</v>
      </c>
      <c r="F25" s="279" t="str">
        <f>IF(Liste!C24&lt;&gt;"",Liste!C24,"")</f>
        <v>F</v>
      </c>
      <c r="G25" s="280">
        <f>IF(E25&lt;&gt;"",IF(Perf.Sprint!$M25&lt;&gt;"",Perf.Sprint!$M25,100),"")</f>
        <v>2.5</v>
      </c>
      <c r="H25" s="281">
        <f>IF(E25&lt;&gt;"",IF(Perf.Sprint!$O25&lt;&gt;"",Perf.Sprint!$O25,100),"")</f>
        <v>14.4</v>
      </c>
      <c r="I25" s="280">
        <f>IF(E25&lt;&gt;"",IF(Perf.Sprint!$Y25&lt;&gt;"",Perf.Sprint!$Y25,100),"")</f>
        <v>3.4</v>
      </c>
      <c r="J25" s="281">
        <f>IF(E25&lt;&gt;"",IF(Perf.Sprint!$AA25&lt;&gt;"",Perf.Sprint!$AA25,100),"")</f>
        <v>15.840000000000002</v>
      </c>
      <c r="K25" s="38">
        <v>22</v>
      </c>
      <c r="L25" s="20" t="str">
        <f t="array" ref="L25">IF(ROWS($2:23)&lt;=COUNTIF($F$4:$F$40,"F"),INDEX($E$4:$E$40,SMALL(IF($F$4:$F$40="F",MATCH($E$4:$E$40,$E$4:$E$40,0)),ROWS($2:23))),"")</f>
        <v/>
      </c>
      <c r="M25" s="38" t="str">
        <f t="shared" si="0"/>
        <v/>
      </c>
      <c r="N25" s="38" t="str">
        <f t="shared" si="1"/>
        <v/>
      </c>
      <c r="O25" s="38" t="str">
        <f t="shared" si="9"/>
        <v/>
      </c>
      <c r="P25" s="38" t="str">
        <f t="shared" si="2"/>
        <v/>
      </c>
      <c r="Q25" s="38" t="str">
        <f t="shared" si="10"/>
        <v/>
      </c>
      <c r="R25" s="38" t="str">
        <f>IF(L25&lt;&gt;"",SUMPRODUCT(--(N25&gt;$N$4:$N$40))+COUNTIF($N$4:N25,N25),"")</f>
        <v/>
      </c>
      <c r="S25" s="38" t="str">
        <f>IF(L25&lt;&gt;"",SUMPRODUCT(--(P25&gt;$P$4:$P$40))+COUNTIF($P$4:P25,P25),"")</f>
        <v/>
      </c>
      <c r="T25" s="307" t="str">
        <f t="shared" si="11"/>
        <v/>
      </c>
      <c r="U25" s="38" t="str">
        <f>IF(S25&lt;&gt;"",SUMPRODUCT(--(S25&gt;$S$4:$S$40))+COUNTIF(S$4:$S25,S25),"")</f>
        <v/>
      </c>
      <c r="V25" s="282"/>
      <c r="W25" s="527" t="str">
        <f t="shared" si="12"/>
        <v/>
      </c>
      <c r="X25" s="46" t="str">
        <f t="shared" si="21"/>
        <v/>
      </c>
      <c r="Y25" s="517" t="str">
        <f t="shared" si="22"/>
        <v/>
      </c>
      <c r="Z25" s="518" t="str">
        <f t="shared" si="23"/>
        <v/>
      </c>
      <c r="AA25" s="519" t="str">
        <f t="shared" si="13"/>
        <v/>
      </c>
      <c r="AB25" s="290" t="str">
        <f t="shared" si="24"/>
        <v/>
      </c>
      <c r="AC25" s="38">
        <v>22</v>
      </c>
      <c r="AD25" s="20" t="str">
        <f t="array" ref="AD25">IF(ROWS($2:23)&lt;=COUNTIF($F$4:$F$40,"M"),INDEX($E$4:$E$40,SMALL(IF($F$4:$F$40="M",MATCH($E$4:$E$40,$E$4:$E$40,0)),ROWS($2:23))),"")</f>
        <v/>
      </c>
      <c r="AE25" s="38" t="str">
        <f t="shared" si="4"/>
        <v/>
      </c>
      <c r="AF25" s="38" t="str">
        <f t="shared" si="14"/>
        <v/>
      </c>
      <c r="AG25" s="38" t="str">
        <f t="shared" si="15"/>
        <v/>
      </c>
      <c r="AH25" s="38" t="str">
        <f t="shared" si="16"/>
        <v/>
      </c>
      <c r="AI25" s="38" t="str">
        <f t="shared" si="17"/>
        <v/>
      </c>
      <c r="AJ25" s="38" t="str">
        <f>IF(AD25&lt;&gt;"",SUMPRODUCT(--(AF25&gt;$AF$4:$AF$40))+COUNTIF($AF$4:AF25,AF25),"")</f>
        <v/>
      </c>
      <c r="AK25" s="38" t="str">
        <f>IF(AD25&lt;&gt;"",SUMPRODUCT(--(AH25&gt;$AH$4:$AH$40))+COUNTIF($AH$4:AH25,AH25),"")</f>
        <v/>
      </c>
      <c r="AL25" s="307" t="str">
        <f t="shared" si="18"/>
        <v/>
      </c>
      <c r="AM25" s="38" t="str">
        <f>IF(AL25&lt;&gt;"",SUMPRODUCT(--(AL25&gt;$AL$4:$AL$40))+COUNTIF(AL$4:$AL25,AL25),"")</f>
        <v/>
      </c>
      <c r="AN25" s="282"/>
      <c r="AO25" s="529" t="str">
        <f t="shared" si="19"/>
        <v/>
      </c>
      <c r="AP25" s="46" t="str">
        <f t="shared" si="25"/>
        <v/>
      </c>
      <c r="AQ25" s="517" t="str">
        <f t="shared" si="5"/>
        <v/>
      </c>
      <c r="AR25" s="518" t="str">
        <f t="shared" si="26"/>
        <v/>
      </c>
      <c r="AS25" s="519" t="str">
        <f t="shared" si="6"/>
        <v/>
      </c>
      <c r="AT25" s="290" t="str">
        <f t="shared" si="27"/>
        <v/>
      </c>
      <c r="AU25" s="513"/>
      <c r="AV25" s="527">
        <f t="shared" si="20"/>
        <v>23</v>
      </c>
      <c r="AW25" s="510" t="str">
        <f t="shared" si="28"/>
        <v>L</v>
      </c>
      <c r="AX25" s="519">
        <f t="shared" si="29"/>
        <v>100</v>
      </c>
      <c r="AY25" s="520" t="str">
        <f t="shared" si="30"/>
        <v/>
      </c>
      <c r="AZ25" s="519">
        <f t="array" ref="AZ25">IF(INDEX($I$4:$I$40,MATCH($AW25,$E$4:$E$40,0))="100","",INDEX($I$4:$I$40,MATCH($AW25,$E$4:$E$40,0)))</f>
        <v>100</v>
      </c>
      <c r="BA25" s="290" t="str">
        <f t="shared" si="7"/>
        <v/>
      </c>
    </row>
    <row r="26" spans="1:53" ht="24" customHeight="1">
      <c r="A26" s="38">
        <f>IF(E26&lt;&gt;"",SUMPRODUCT(--(I26&gt;$I$4:$I$40))+COUNTIF($I$4:I26,I26),"")</f>
        <v>25</v>
      </c>
      <c r="B26" s="38">
        <f>IF(E26&lt;&gt;"",SUMPRODUCT(--(G26&gt;$G$4:$G$40))+COUNTIF($G$4:G26,G26),"")</f>
        <v>25</v>
      </c>
      <c r="C26" s="506">
        <f t="shared" si="8"/>
        <v>100</v>
      </c>
      <c r="D26" s="38">
        <f>IF(E26&lt;&gt;"",COUNTIFS(I:I,"&lt;"&amp;I26)+COUNTIF($I$4:I26,I26),"")</f>
        <v>26</v>
      </c>
      <c r="E26" s="278" t="str">
        <f>IF(Liste!B25&lt;&gt;"",Liste!B25,"")</f>
        <v>W</v>
      </c>
      <c r="F26" s="279" t="str">
        <f>IF(Liste!C25&lt;&gt;"",Liste!C25,"")</f>
        <v>F</v>
      </c>
      <c r="G26" s="280">
        <f>IF(E26&lt;&gt;"",IF(Perf.Sprint!$M26&lt;&gt;"",Perf.Sprint!$M26,100),"")</f>
        <v>100</v>
      </c>
      <c r="H26" s="281">
        <f>IF(E26&lt;&gt;"",IF(Perf.Sprint!$O26&lt;&gt;"",Perf.Sprint!$O26,100),"")</f>
        <v>100</v>
      </c>
      <c r="I26" s="280">
        <f>IF(E26&lt;&gt;"",IF(Perf.Sprint!$Y26&lt;&gt;"",Perf.Sprint!$Y26,100),"")</f>
        <v>100</v>
      </c>
      <c r="J26" s="281">
        <f>IF(E26&lt;&gt;"",IF(Perf.Sprint!$AA26&lt;&gt;"",Perf.Sprint!$AA26,100),"")</f>
        <v>100</v>
      </c>
      <c r="K26" s="38">
        <v>23</v>
      </c>
      <c r="L26" s="20" t="str">
        <f t="array" ref="L26">IF(ROWS($2:24)&lt;=COUNTIF($F$4:$F$40,"F"),INDEX($E$4:$E$40,SMALL(IF($F$4:$F$40="F",MATCH($E$4:$E$40,$E$4:$E$40,0)),ROWS($2:24))),"")</f>
        <v/>
      </c>
      <c r="M26" s="38" t="str">
        <f t="shared" si="0"/>
        <v/>
      </c>
      <c r="N26" s="38" t="str">
        <f t="shared" si="1"/>
        <v/>
      </c>
      <c r="O26" s="38" t="str">
        <f t="shared" si="9"/>
        <v/>
      </c>
      <c r="P26" s="38" t="str">
        <f t="shared" si="2"/>
        <v/>
      </c>
      <c r="Q26" s="38" t="str">
        <f t="shared" si="10"/>
        <v/>
      </c>
      <c r="R26" s="38" t="str">
        <f>IF(L26&lt;&gt;"",SUMPRODUCT(--(N26&gt;$N$4:$N$40))+COUNTIF($N$4:N26,N26),"")</f>
        <v/>
      </c>
      <c r="S26" s="38" t="str">
        <f>IF(L26&lt;&gt;"",SUMPRODUCT(--(P26&gt;$P$4:$P$40))+COUNTIF($P$4:P26,P26),"")</f>
        <v/>
      </c>
      <c r="T26" s="307" t="str">
        <f t="shared" si="11"/>
        <v/>
      </c>
      <c r="U26" s="38" t="str">
        <f>IF(S26&lt;&gt;"",SUMPRODUCT(--(S26&gt;$S$4:$S$40))+COUNTIF(S$4:$S26,S26),"")</f>
        <v/>
      </c>
      <c r="V26" s="282"/>
      <c r="W26" s="527" t="str">
        <f t="shared" si="12"/>
        <v/>
      </c>
      <c r="X26" s="532" t="str">
        <f t="shared" si="21"/>
        <v/>
      </c>
      <c r="Y26" s="515" t="str">
        <f t="shared" si="22"/>
        <v/>
      </c>
      <c r="Z26" s="516" t="str">
        <f t="shared" si="23"/>
        <v/>
      </c>
      <c r="AA26" s="515" t="str">
        <f t="shared" si="13"/>
        <v/>
      </c>
      <c r="AB26" s="285" t="str">
        <f t="shared" si="24"/>
        <v/>
      </c>
      <c r="AC26" s="38">
        <v>23</v>
      </c>
      <c r="AD26" s="20" t="str">
        <f t="array" ref="AD26">IF(ROWS($2:24)&lt;=COUNTIF($F$4:$F$40,"M"),INDEX($E$4:$E$40,SMALL(IF($F$4:$F$40="M",MATCH($E$4:$E$40,$E$4:$E$40,0)),ROWS($2:24))),"")</f>
        <v/>
      </c>
      <c r="AE26" s="38" t="str">
        <f t="shared" si="4"/>
        <v/>
      </c>
      <c r="AF26" s="38" t="str">
        <f t="shared" si="14"/>
        <v/>
      </c>
      <c r="AG26" s="38" t="str">
        <f t="shared" si="15"/>
        <v/>
      </c>
      <c r="AH26" s="38" t="str">
        <f t="shared" si="16"/>
        <v/>
      </c>
      <c r="AI26" s="38" t="str">
        <f t="shared" si="17"/>
        <v/>
      </c>
      <c r="AJ26" s="38" t="str">
        <f>IF(AD26&lt;&gt;"",SUMPRODUCT(--(AF26&gt;$AF$4:$AF$40))+COUNTIF($AF$4:AF26,AF26),"")</f>
        <v/>
      </c>
      <c r="AK26" s="38" t="str">
        <f>IF(AD26&lt;&gt;"",SUMPRODUCT(--(AH26&gt;$AH$4:$AH$40))+COUNTIF($AH$4:AH26,AH26),"")</f>
        <v/>
      </c>
      <c r="AL26" s="307" t="str">
        <f t="shared" si="18"/>
        <v/>
      </c>
      <c r="AM26" s="38" t="str">
        <f>IF(AL26&lt;&gt;"",SUMPRODUCT(--(AL26&gt;$AL$4:$AL$40))+COUNTIF(AL$4:$AL26,AL26),"")</f>
        <v/>
      </c>
      <c r="AN26" s="282"/>
      <c r="AO26" s="529" t="str">
        <f t="shared" si="19"/>
        <v/>
      </c>
      <c r="AP26" s="532" t="str">
        <f t="shared" si="25"/>
        <v/>
      </c>
      <c r="AQ26" s="515" t="str">
        <f t="shared" si="5"/>
        <v/>
      </c>
      <c r="AR26" s="516" t="str">
        <f t="shared" si="26"/>
        <v/>
      </c>
      <c r="AS26" s="515" t="str">
        <f t="shared" si="6"/>
        <v/>
      </c>
      <c r="AT26" s="285" t="str">
        <f t="shared" si="27"/>
        <v/>
      </c>
      <c r="AU26" s="512"/>
      <c r="AV26" s="527">
        <f t="shared" si="20"/>
        <v>24</v>
      </c>
      <c r="AW26" s="511" t="str">
        <f t="shared" si="28"/>
        <v>P</v>
      </c>
      <c r="AX26" s="515">
        <f t="shared" si="29"/>
        <v>100</v>
      </c>
      <c r="AY26" s="516" t="str">
        <f t="shared" si="30"/>
        <v/>
      </c>
      <c r="AZ26" s="515">
        <f t="array" ref="AZ26">IF(INDEX($I$4:$I$40,MATCH($AW26,$E$4:$E$40,0))="100","",INDEX($I$4:$I$40,MATCH($AW26,$E$4:$E$40,0)))</f>
        <v>100</v>
      </c>
      <c r="BA26" s="285" t="str">
        <f t="shared" si="7"/>
        <v/>
      </c>
    </row>
    <row r="27" spans="1:53" ht="24" customHeight="1">
      <c r="A27" s="38">
        <f>IF(E27&lt;&gt;"",SUMPRODUCT(--(I27&gt;$I$4:$I$40))+COUNTIF($I$4:I27,I27),"")</f>
        <v>6</v>
      </c>
      <c r="B27" s="38">
        <f>IF(E27&lt;&gt;"",SUMPRODUCT(--(G27&gt;$G$4:$G$40))+COUNTIF($G$4:G27,G27),"")</f>
        <v>6</v>
      </c>
      <c r="C27" s="506">
        <f t="shared" si="8"/>
        <v>24</v>
      </c>
      <c r="D27" s="38">
        <f>IF(E27&lt;&gt;"",COUNTIFS(I:I,"&lt;"&amp;I27)+COUNTIF($I$4:I27,I27),"")</f>
        <v>6</v>
      </c>
      <c r="E27" s="278" t="str">
        <f>IF(Liste!B26&lt;&gt;"",Liste!B26,"")</f>
        <v>X</v>
      </c>
      <c r="F27" s="279" t="str">
        <f>IF(Liste!C26&lt;&gt;"",Liste!C26,"")</f>
        <v>M</v>
      </c>
      <c r="G27" s="280">
        <f>IF(E27&lt;&gt;"",IF(Perf.Sprint!$M27&lt;&gt;"",Perf.Sprint!$M27,100),"")</f>
        <v>2.2999999999999998</v>
      </c>
      <c r="H27" s="281">
        <f>IF(E27&lt;&gt;"",IF(Perf.Sprint!$O27&lt;&gt;"",Perf.Sprint!$O27,100),"")</f>
        <v>15.48</v>
      </c>
      <c r="I27" s="280">
        <f>IF(E27&lt;&gt;"",IF(Perf.Sprint!$Y27&lt;&gt;"",Perf.Sprint!$Y27,100),"")</f>
        <v>3.1</v>
      </c>
      <c r="J27" s="281">
        <f>IF(E27&lt;&gt;"",IF(Perf.Sprint!$AA27&lt;&gt;"",Perf.Sprint!$AA27,100),"")</f>
        <v>17.28</v>
      </c>
      <c r="K27" s="38">
        <v>24</v>
      </c>
      <c r="L27" s="20" t="str">
        <f t="array" ref="L27">IF(ROWS($2:25)&lt;=COUNTIF($F$4:$F$40,"F"),INDEX($E$4:$E$40,SMALL(IF($F$4:$F$40="F",MATCH($E$4:$E$40,$E$4:$E$40,0)),ROWS($2:25))),"")</f>
        <v/>
      </c>
      <c r="M27" s="38" t="str">
        <f t="shared" si="0"/>
        <v/>
      </c>
      <c r="N27" s="38" t="str">
        <f t="shared" si="1"/>
        <v/>
      </c>
      <c r="O27" s="38" t="str">
        <f t="shared" si="9"/>
        <v/>
      </c>
      <c r="P27" s="38" t="str">
        <f t="shared" si="2"/>
        <v/>
      </c>
      <c r="Q27" s="38" t="str">
        <f t="shared" si="10"/>
        <v/>
      </c>
      <c r="R27" s="38" t="str">
        <f>IF(L27&lt;&gt;"",SUMPRODUCT(--(N27&gt;$N$4:$N$40))+COUNTIF($N$4:N27,N27),"")</f>
        <v/>
      </c>
      <c r="S27" s="38" t="str">
        <f>IF(L27&lt;&gt;"",SUMPRODUCT(--(P27&gt;$P$4:$P$40))+COUNTIF($P$4:P27,P27),"")</f>
        <v/>
      </c>
      <c r="T27" s="307" t="str">
        <f t="shared" si="11"/>
        <v/>
      </c>
      <c r="U27" s="38" t="str">
        <f>IF(S27&lt;&gt;"",SUMPRODUCT(--(S27&gt;$S$4:$S$40))+COUNTIF(S$4:$S27,S27),"")</f>
        <v/>
      </c>
      <c r="V27" s="282"/>
      <c r="W27" s="527" t="str">
        <f t="shared" si="12"/>
        <v/>
      </c>
      <c r="X27" s="46" t="str">
        <f t="shared" si="21"/>
        <v/>
      </c>
      <c r="Y27" s="517" t="str">
        <f t="shared" si="22"/>
        <v/>
      </c>
      <c r="Z27" s="518" t="str">
        <f t="shared" si="23"/>
        <v/>
      </c>
      <c r="AA27" s="519" t="str">
        <f t="shared" si="13"/>
        <v/>
      </c>
      <c r="AB27" s="290" t="str">
        <f t="shared" si="24"/>
        <v/>
      </c>
      <c r="AC27" s="38">
        <v>24</v>
      </c>
      <c r="AD27" s="20" t="str">
        <f t="array" ref="AD27">IF(ROWS($2:25)&lt;=COUNTIF($F$4:$F$40,"M"),INDEX($E$4:$E$40,SMALL(IF($F$4:$F$40="M",MATCH($E$4:$E$40,$E$4:$E$40,0)),ROWS($2:25))),"")</f>
        <v/>
      </c>
      <c r="AE27" s="38" t="str">
        <f t="shared" si="4"/>
        <v/>
      </c>
      <c r="AF27" s="38" t="str">
        <f t="shared" si="14"/>
        <v/>
      </c>
      <c r="AG27" s="38" t="str">
        <f t="shared" si="15"/>
        <v/>
      </c>
      <c r="AH27" s="38" t="str">
        <f t="shared" si="16"/>
        <v/>
      </c>
      <c r="AI27" s="38" t="str">
        <f t="shared" si="17"/>
        <v/>
      </c>
      <c r="AJ27" s="38" t="str">
        <f>IF(AD27&lt;&gt;"",SUMPRODUCT(--(AF27&gt;$AF$4:$AF$40))+COUNTIF($AF$4:AF27,AF27),"")</f>
        <v/>
      </c>
      <c r="AK27" s="38" t="str">
        <f>IF(AD27&lt;&gt;"",SUMPRODUCT(--(AH27&gt;$AH$4:$AH$40))+COUNTIF($AH$4:AH27,AH27),"")</f>
        <v/>
      </c>
      <c r="AL27" s="307" t="str">
        <f t="shared" si="18"/>
        <v/>
      </c>
      <c r="AM27" s="38" t="str">
        <f>IF(AL27&lt;&gt;"",SUMPRODUCT(--(AL27&gt;$AL$4:$AL$40))+COUNTIF(AL$4:$AL27,AL27),"")</f>
        <v/>
      </c>
      <c r="AN27" s="282"/>
      <c r="AO27" s="529" t="str">
        <f t="shared" si="19"/>
        <v/>
      </c>
      <c r="AP27" s="46" t="str">
        <f t="shared" si="25"/>
        <v/>
      </c>
      <c r="AQ27" s="517" t="str">
        <f t="shared" si="5"/>
        <v/>
      </c>
      <c r="AR27" s="518" t="str">
        <f t="shared" si="26"/>
        <v/>
      </c>
      <c r="AS27" s="519" t="str">
        <f t="shared" si="6"/>
        <v/>
      </c>
      <c r="AT27" s="290" t="str">
        <f t="shared" si="27"/>
        <v/>
      </c>
      <c r="AU27" s="513"/>
      <c r="AV27" s="527">
        <f t="shared" si="20"/>
        <v>25</v>
      </c>
      <c r="AW27" s="510" t="str">
        <f t="shared" si="28"/>
        <v>S</v>
      </c>
      <c r="AX27" s="519">
        <f t="shared" si="29"/>
        <v>100</v>
      </c>
      <c r="AY27" s="520" t="str">
        <f t="shared" si="30"/>
        <v/>
      </c>
      <c r="AZ27" s="519">
        <f t="array" ref="AZ27">IF(INDEX($I$4:$I$40,MATCH($AW27,$E$4:$E$40,0))="100","",INDEX($I$4:$I$40,MATCH($AW27,$E$4:$E$40,0)))</f>
        <v>100</v>
      </c>
      <c r="BA27" s="290" t="str">
        <f t="shared" si="7"/>
        <v/>
      </c>
    </row>
    <row r="28" spans="1:53" ht="24" customHeight="1">
      <c r="A28" s="38">
        <f>IF(E28&lt;&gt;"",SUMPRODUCT(--(I28&gt;$I$4:$I$40))+COUNTIF($I$4:I28,I28),"")</f>
        <v>16</v>
      </c>
      <c r="B28" s="38">
        <f>IF(E28&lt;&gt;"",SUMPRODUCT(--(G28&gt;$G$4:$G$40))+COUNTIF($G$4:G28,G28),"")</f>
        <v>15</v>
      </c>
      <c r="C28" s="506">
        <f t="shared" si="8"/>
        <v>63</v>
      </c>
      <c r="D28" s="38">
        <f>IF(E28&lt;&gt;"",COUNTIFS(I:I,"&lt;"&amp;I28)+COUNTIF($I$4:I28,I28),"")</f>
        <v>16</v>
      </c>
      <c r="E28" s="278" t="str">
        <f>IF(Liste!B27&lt;&gt;"",Liste!B27,"")</f>
        <v>Y</v>
      </c>
      <c r="F28" s="279" t="str">
        <f>IF(Liste!C27&lt;&gt;"",Liste!C27,"")</f>
        <v>F</v>
      </c>
      <c r="G28" s="280">
        <f>IF(E28&lt;&gt;"",IF(Perf.Sprint!$M28&lt;&gt;"",Perf.Sprint!$M28,100),"")</f>
        <v>2.5</v>
      </c>
      <c r="H28" s="281">
        <f>IF(E28&lt;&gt;"",IF(Perf.Sprint!$O28&lt;&gt;"",Perf.Sprint!$O28,100),"")</f>
        <v>14.4</v>
      </c>
      <c r="I28" s="280">
        <f>IF(E28&lt;&gt;"",IF(Perf.Sprint!$Y28&lt;&gt;"",Perf.Sprint!$Y28,100),"")</f>
        <v>3.4</v>
      </c>
      <c r="J28" s="281">
        <f>IF(E28&lt;&gt;"",IF(Perf.Sprint!$AA28&lt;&gt;"",Perf.Sprint!$AA28,100),"")</f>
        <v>15.840000000000002</v>
      </c>
      <c r="K28" s="38">
        <v>25</v>
      </c>
      <c r="L28" s="20" t="str">
        <f t="array" ref="L28">IF(ROWS($2:26)&lt;=COUNTIF($F$4:$F$40,"F"),INDEX($E$4:$E$40,SMALL(IF($F$4:$F$40="F",MATCH($E$4:$E$40,$E$4:$E$40,0)),ROWS($2:26))),"")</f>
        <v/>
      </c>
      <c r="M28" s="38" t="str">
        <f t="shared" si="0"/>
        <v/>
      </c>
      <c r="N28" s="38" t="str">
        <f t="shared" si="1"/>
        <v/>
      </c>
      <c r="O28" s="38" t="str">
        <f t="shared" si="9"/>
        <v/>
      </c>
      <c r="P28" s="38" t="str">
        <f t="shared" si="2"/>
        <v/>
      </c>
      <c r="Q28" s="38" t="str">
        <f t="shared" si="10"/>
        <v/>
      </c>
      <c r="R28" s="38" t="str">
        <f>IF(L28&lt;&gt;"",SUMPRODUCT(--(N28&gt;$N$4:$N$40))+COUNTIF($N$4:N28,N28),"")</f>
        <v/>
      </c>
      <c r="S28" s="38" t="str">
        <f>IF(L28&lt;&gt;"",SUMPRODUCT(--(P28&gt;$P$4:$P$40))+COUNTIF($P$4:P28,P28),"")</f>
        <v/>
      </c>
      <c r="T28" s="307" t="str">
        <f t="shared" si="11"/>
        <v/>
      </c>
      <c r="U28" s="38" t="str">
        <f>IF(S28&lt;&gt;"",SUMPRODUCT(--(S28&gt;$S$4:$S$40))+COUNTIF(S$4:$S28,S28),"")</f>
        <v/>
      </c>
      <c r="V28" s="282"/>
      <c r="W28" s="527" t="str">
        <f t="shared" si="12"/>
        <v/>
      </c>
      <c r="X28" s="532" t="str">
        <f t="shared" si="21"/>
        <v/>
      </c>
      <c r="Y28" s="515" t="str">
        <f t="shared" si="22"/>
        <v/>
      </c>
      <c r="Z28" s="516" t="str">
        <f t="shared" si="23"/>
        <v/>
      </c>
      <c r="AA28" s="515" t="str">
        <f t="shared" si="13"/>
        <v/>
      </c>
      <c r="AB28" s="285" t="str">
        <f t="shared" si="24"/>
        <v/>
      </c>
      <c r="AC28" s="38">
        <v>25</v>
      </c>
      <c r="AD28" s="20" t="str">
        <f t="array" ref="AD28">IF(ROWS($2:26)&lt;=COUNTIF($F$4:$F$40,"M"),INDEX($E$4:$E$40,SMALL(IF($F$4:$F$40="M",MATCH($E$4:$E$40,$E$4:$E$40,0)),ROWS($2:26))),"")</f>
        <v/>
      </c>
      <c r="AE28" s="38" t="str">
        <f t="shared" si="4"/>
        <v/>
      </c>
      <c r="AF28" s="38" t="str">
        <f t="shared" si="14"/>
        <v/>
      </c>
      <c r="AG28" s="38" t="str">
        <f t="shared" si="15"/>
        <v/>
      </c>
      <c r="AH28" s="38" t="str">
        <f t="shared" si="16"/>
        <v/>
      </c>
      <c r="AI28" s="38" t="str">
        <f t="shared" si="17"/>
        <v/>
      </c>
      <c r="AJ28" s="38" t="str">
        <f>IF(AD28&lt;&gt;"",SUMPRODUCT(--(AF28&gt;$AF$4:$AF$40))+COUNTIF($AF$4:AF28,AF28),"")</f>
        <v/>
      </c>
      <c r="AK28" s="38" t="str">
        <f>IF(AD28&lt;&gt;"",SUMPRODUCT(--(AH28&gt;$AH$4:$AH$40))+COUNTIF($AH$4:AH28,AH28),"")</f>
        <v/>
      </c>
      <c r="AL28" s="307" t="str">
        <f t="shared" si="18"/>
        <v/>
      </c>
      <c r="AM28" s="38" t="str">
        <f>IF(AL28&lt;&gt;"",SUMPRODUCT(--(AL28&gt;$AL$4:$AL$40))+COUNTIF(AL$4:$AL28,AL28),"")</f>
        <v/>
      </c>
      <c r="AN28" s="282"/>
      <c r="AO28" s="529" t="str">
        <f t="shared" si="19"/>
        <v/>
      </c>
      <c r="AP28" s="532" t="str">
        <f t="shared" si="25"/>
        <v/>
      </c>
      <c r="AQ28" s="515" t="str">
        <f t="shared" si="5"/>
        <v/>
      </c>
      <c r="AR28" s="516" t="str">
        <f t="shared" si="26"/>
        <v/>
      </c>
      <c r="AS28" s="515" t="str">
        <f t="shared" si="6"/>
        <v/>
      </c>
      <c r="AT28" s="285" t="str">
        <f t="shared" si="27"/>
        <v/>
      </c>
      <c r="AU28" s="512"/>
      <c r="AV28" s="527">
        <f t="shared" si="20"/>
        <v>26</v>
      </c>
      <c r="AW28" s="511" t="str">
        <f t="shared" si="28"/>
        <v>W</v>
      </c>
      <c r="AX28" s="515">
        <f t="shared" si="29"/>
        <v>100</v>
      </c>
      <c r="AY28" s="516" t="str">
        <f t="shared" si="30"/>
        <v/>
      </c>
      <c r="AZ28" s="515">
        <f t="array" ref="AZ28">IF(INDEX($I$4:$I$40,MATCH($AW28,$E$4:$E$40,0))="100","",INDEX($I$4:$I$40,MATCH($AW28,$E$4:$E$40,0)))</f>
        <v>100</v>
      </c>
      <c r="BA28" s="285" t="str">
        <f t="shared" si="7"/>
        <v/>
      </c>
    </row>
    <row r="29" spans="1:53" ht="24" customHeight="1">
      <c r="A29" s="38">
        <f>IF(E29&lt;&gt;"",SUMPRODUCT(--(I29&gt;$I$4:$I$40))+COUNTIF($I$4:I29,I29),"")</f>
        <v>26</v>
      </c>
      <c r="B29" s="38">
        <f>IF(E29&lt;&gt;"",SUMPRODUCT(--(G29&gt;$G$4:$G$40))+COUNTIF($G$4:G29,G29),"")</f>
        <v>26</v>
      </c>
      <c r="C29" s="506">
        <f t="shared" si="8"/>
        <v>104</v>
      </c>
      <c r="D29" s="38">
        <f>IF(E29&lt;&gt;"",COUNTIFS(I:I,"&lt;"&amp;I29)+COUNTIF($I$4:I29,I29),"")</f>
        <v>27</v>
      </c>
      <c r="E29" s="278" t="str">
        <f>IF(Liste!B28&lt;&gt;"",Liste!B28,"")</f>
        <v>Z</v>
      </c>
      <c r="F29" s="279" t="str">
        <f>IF(Liste!C28&lt;&gt;"",Liste!C28,"")</f>
        <v>F</v>
      </c>
      <c r="G29" s="280">
        <f>IF(E29&lt;&gt;"",IF(Perf.Sprint!$M29&lt;&gt;"",Perf.Sprint!$M29,100),"")</f>
        <v>100</v>
      </c>
      <c r="H29" s="281">
        <f>IF(E29&lt;&gt;"",IF(Perf.Sprint!$O29&lt;&gt;"",Perf.Sprint!$O29,100),"")</f>
        <v>100</v>
      </c>
      <c r="I29" s="280">
        <f>IF(E29&lt;&gt;"",IF(Perf.Sprint!$Y29&lt;&gt;"",Perf.Sprint!$Y29,100),"")</f>
        <v>100</v>
      </c>
      <c r="J29" s="281">
        <f>IF(E29&lt;&gt;"",IF(Perf.Sprint!$AA29&lt;&gt;"",Perf.Sprint!$AA29,100),"")</f>
        <v>100</v>
      </c>
      <c r="K29" s="38">
        <v>26</v>
      </c>
      <c r="L29" s="20" t="str">
        <f t="array" ref="L29">IF(ROWS($2:27)&lt;=COUNTIF($F$4:$F$40,"F"),INDEX($E$4:$E$40,SMALL(IF($F$4:$F$40="F",MATCH($E$4:$E$40,$E$4:$E$40,0)),ROWS($2:27))),"")</f>
        <v/>
      </c>
      <c r="M29" s="38" t="str">
        <f t="shared" si="0"/>
        <v/>
      </c>
      <c r="N29" s="38" t="str">
        <f t="shared" si="1"/>
        <v/>
      </c>
      <c r="O29" s="38" t="str">
        <f t="shared" si="9"/>
        <v/>
      </c>
      <c r="P29" s="38" t="str">
        <f t="shared" si="2"/>
        <v/>
      </c>
      <c r="Q29" s="38" t="str">
        <f t="shared" si="10"/>
        <v/>
      </c>
      <c r="R29" s="38" t="str">
        <f>IF(L29&lt;&gt;"",SUMPRODUCT(--(N29&gt;$N$4:$N$40))+COUNTIF($N$4:N29,N29),"")</f>
        <v/>
      </c>
      <c r="S29" s="38" t="str">
        <f>IF(L29&lt;&gt;"",SUMPRODUCT(--(P29&gt;$P$4:$P$40))+COUNTIF($P$4:P29,P29),"")</f>
        <v/>
      </c>
      <c r="T29" s="307" t="str">
        <f t="shared" si="11"/>
        <v/>
      </c>
      <c r="U29" s="38" t="str">
        <f>IF(S29&lt;&gt;"",SUMPRODUCT(--(S29&gt;$S$4:$S$40))+COUNTIF(S$4:$S29,S29),"")</f>
        <v/>
      </c>
      <c r="V29" s="282"/>
      <c r="W29" s="527" t="str">
        <f t="shared" si="12"/>
        <v/>
      </c>
      <c r="X29" s="46" t="str">
        <f t="shared" si="21"/>
        <v/>
      </c>
      <c r="Y29" s="517" t="str">
        <f t="shared" si="22"/>
        <v/>
      </c>
      <c r="Z29" s="518" t="str">
        <f t="shared" si="23"/>
        <v/>
      </c>
      <c r="AA29" s="519" t="str">
        <f t="shared" si="13"/>
        <v/>
      </c>
      <c r="AB29" s="290" t="str">
        <f t="shared" si="24"/>
        <v/>
      </c>
      <c r="AC29" s="38">
        <v>26</v>
      </c>
      <c r="AD29" s="20" t="str">
        <f t="array" ref="AD29">IF(ROWS($2:27)&lt;=COUNTIF($F$4:$F$40,"M"),INDEX($E$4:$E$40,SMALL(IF($F$4:$F$40="M",MATCH($E$4:$E$40,$E$4:$E$40,0)),ROWS($2:27))),"")</f>
        <v/>
      </c>
      <c r="AE29" s="38" t="str">
        <f t="shared" si="4"/>
        <v/>
      </c>
      <c r="AF29" s="38" t="str">
        <f t="shared" si="14"/>
        <v/>
      </c>
      <c r="AG29" s="38" t="str">
        <f t="shared" si="15"/>
        <v/>
      </c>
      <c r="AH29" s="38" t="str">
        <f t="shared" si="16"/>
        <v/>
      </c>
      <c r="AI29" s="38" t="str">
        <f t="shared" si="17"/>
        <v/>
      </c>
      <c r="AJ29" s="38" t="str">
        <f>IF(AD29&lt;&gt;"",SUMPRODUCT(--(AF29&gt;$AF$4:$AF$40))+COUNTIF($AF$4:AF29,AF29),"")</f>
        <v/>
      </c>
      <c r="AK29" s="38" t="str">
        <f>IF(AD29&lt;&gt;"",SUMPRODUCT(--(AH29&gt;$AH$4:$AH$40))+COUNTIF($AH$4:AH29,AH29),"")</f>
        <v/>
      </c>
      <c r="AL29" s="307" t="str">
        <f t="shared" si="18"/>
        <v/>
      </c>
      <c r="AM29" s="38" t="str">
        <f>IF(AL29&lt;&gt;"",SUMPRODUCT(--(AL29&gt;$AL$4:$AL$40))+COUNTIF(AL$4:$AL29,AL29),"")</f>
        <v/>
      </c>
      <c r="AN29" s="282"/>
      <c r="AO29" s="529" t="str">
        <f t="shared" si="19"/>
        <v/>
      </c>
      <c r="AP29" s="46" t="str">
        <f t="shared" si="25"/>
        <v/>
      </c>
      <c r="AQ29" s="517" t="str">
        <f t="shared" si="5"/>
        <v/>
      </c>
      <c r="AR29" s="518" t="str">
        <f t="shared" si="26"/>
        <v/>
      </c>
      <c r="AS29" s="519" t="str">
        <f t="shared" si="6"/>
        <v/>
      </c>
      <c r="AT29" s="290" t="str">
        <f t="shared" si="27"/>
        <v/>
      </c>
      <c r="AU29" s="513"/>
      <c r="AV29" s="527">
        <f t="shared" si="20"/>
        <v>27</v>
      </c>
      <c r="AW29" s="510" t="str">
        <f t="shared" si="28"/>
        <v>Z</v>
      </c>
      <c r="AX29" s="519">
        <f t="shared" si="29"/>
        <v>100</v>
      </c>
      <c r="AY29" s="520" t="str">
        <f t="shared" si="30"/>
        <v/>
      </c>
      <c r="AZ29" s="519">
        <f t="array" ref="AZ29">IF(INDEX($I$4:$I$40,MATCH($AW29,$E$4:$E$40,0))="100","",INDEX($I$4:$I$40,MATCH($AW29,$E$4:$E$40,0)))</f>
        <v>100</v>
      </c>
      <c r="BA29" s="290" t="str">
        <f t="shared" si="7"/>
        <v/>
      </c>
    </row>
    <row r="30" spans="1:53" ht="24" customHeight="1">
      <c r="A30" s="38" t="str">
        <f>IF(E30&lt;&gt;"",SUMPRODUCT(--(I30&gt;$I$4:$I$40))+COUNTIF($I$4:I30,I30),"")</f>
        <v/>
      </c>
      <c r="B30" s="38" t="str">
        <f>IF(E30&lt;&gt;"",SUMPRODUCT(--(G30&gt;$G$4:$G$40))+COUNTIF($G$4:G30,G30),"")</f>
        <v/>
      </c>
      <c r="C30" s="506" t="str">
        <f t="shared" si="8"/>
        <v/>
      </c>
      <c r="D30" s="38" t="str">
        <f>IF(E30&lt;&gt;"",COUNTIFS(I:I,"&lt;"&amp;I30)+COUNTIF($I$4:I30,I30),"")</f>
        <v/>
      </c>
      <c r="E30" s="278" t="str">
        <f>IF(Liste!B29&lt;&gt;"",Liste!B29,"")</f>
        <v/>
      </c>
      <c r="F30" s="279" t="str">
        <f>IF(Liste!C29&lt;&gt;"",Liste!C29,"")</f>
        <v/>
      </c>
      <c r="G30" s="280" t="str">
        <f>IF(E30&lt;&gt;"",IF(Perf.Sprint!$M30&lt;&gt;"",Perf.Sprint!$M30,100),"")</f>
        <v/>
      </c>
      <c r="H30" s="281" t="str">
        <f>IF(E30&lt;&gt;"",IF(Perf.Sprint!$O30&lt;&gt;"",Perf.Sprint!$O30,100),"")</f>
        <v/>
      </c>
      <c r="I30" s="280" t="str">
        <f>IF(E30&lt;&gt;"",IF(Perf.Sprint!$Y30&lt;&gt;"",Perf.Sprint!$Y30,100),"")</f>
        <v/>
      </c>
      <c r="J30" s="281" t="str">
        <f>IF(E30&lt;&gt;"",IF(Perf.Sprint!$AA30&lt;&gt;"",Perf.Sprint!$AA30,100),"")</f>
        <v/>
      </c>
      <c r="K30" s="38">
        <v>27</v>
      </c>
      <c r="L30" s="20" t="str">
        <f t="array" ref="L30">IF(ROWS($2:28)&lt;=COUNTIF($F$4:$F$40,"F"),INDEX($E$4:$E$40,SMALL(IF($F$4:$F$40="F",MATCH($E$4:$E$40,$E$4:$E$40,0)),ROWS($2:28))),"")</f>
        <v/>
      </c>
      <c r="M30" s="38" t="str">
        <f t="shared" si="0"/>
        <v/>
      </c>
      <c r="N30" s="38" t="str">
        <f t="shared" si="1"/>
        <v/>
      </c>
      <c r="O30" s="38" t="str">
        <f t="shared" si="9"/>
        <v/>
      </c>
      <c r="P30" s="38" t="str">
        <f t="shared" si="2"/>
        <v/>
      </c>
      <c r="Q30" s="38" t="str">
        <f t="shared" si="10"/>
        <v/>
      </c>
      <c r="R30" s="38" t="str">
        <f>IF(L30&lt;&gt;"",SUMPRODUCT(--(N30&gt;$N$4:$N$40))+COUNTIF($N$4:N30,N30),"")</f>
        <v/>
      </c>
      <c r="S30" s="38" t="str">
        <f>IF(L30&lt;&gt;"",SUMPRODUCT(--(P30&gt;$P$4:$P$40))+COUNTIF($P$4:P30,P30),"")</f>
        <v/>
      </c>
      <c r="T30" s="307" t="str">
        <f t="shared" si="11"/>
        <v/>
      </c>
      <c r="U30" s="38" t="str">
        <f>IF(S30&lt;&gt;"",SUMPRODUCT(--(S30&gt;$S$4:$S$40))+COUNTIF(S$4:$S30,S30),"")</f>
        <v/>
      </c>
      <c r="V30" s="282"/>
      <c r="W30" s="527" t="str">
        <f t="shared" si="12"/>
        <v/>
      </c>
      <c r="X30" s="532" t="str">
        <f t="shared" si="21"/>
        <v/>
      </c>
      <c r="Y30" s="515" t="str">
        <f t="shared" si="22"/>
        <v/>
      </c>
      <c r="Z30" s="516" t="str">
        <f t="shared" si="23"/>
        <v/>
      </c>
      <c r="AA30" s="515" t="str">
        <f t="shared" si="13"/>
        <v/>
      </c>
      <c r="AB30" s="285" t="str">
        <f t="shared" si="24"/>
        <v/>
      </c>
      <c r="AC30" s="38">
        <v>27</v>
      </c>
      <c r="AD30" s="20" t="str">
        <f t="array" ref="AD30">IF(ROWS($2:28)&lt;=COUNTIF($F$4:$F$40,"M"),INDEX($E$4:$E$40,SMALL(IF($F$4:$F$40="M",MATCH($E$4:$E$40,$E$4:$E$40,0)),ROWS($2:28))),"")</f>
        <v/>
      </c>
      <c r="AE30" s="38" t="str">
        <f t="shared" si="4"/>
        <v/>
      </c>
      <c r="AF30" s="38" t="str">
        <f t="shared" si="14"/>
        <v/>
      </c>
      <c r="AG30" s="38" t="str">
        <f t="shared" si="15"/>
        <v/>
      </c>
      <c r="AH30" s="38" t="str">
        <f t="shared" si="16"/>
        <v/>
      </c>
      <c r="AI30" s="38" t="str">
        <f t="shared" si="17"/>
        <v/>
      </c>
      <c r="AJ30" s="38" t="str">
        <f>IF(AD30&lt;&gt;"",SUMPRODUCT(--(AF30&gt;$AF$4:$AF$40))+COUNTIF($AF$4:AF30,AF30),"")</f>
        <v/>
      </c>
      <c r="AK30" s="38" t="str">
        <f>IF(AD30&lt;&gt;"",SUMPRODUCT(--(AH30&gt;$AH$4:$AH$40))+COUNTIF($AH$4:AH30,AH30),"")</f>
        <v/>
      </c>
      <c r="AL30" s="307" t="str">
        <f t="shared" si="18"/>
        <v/>
      </c>
      <c r="AM30" s="38" t="str">
        <f>IF(AL30&lt;&gt;"",SUMPRODUCT(--(AL30&gt;$AL$4:$AL$40))+COUNTIF(AL$4:$AL30,AL30),"")</f>
        <v/>
      </c>
      <c r="AN30" s="282"/>
      <c r="AO30" s="529" t="str">
        <f t="shared" si="19"/>
        <v/>
      </c>
      <c r="AP30" s="532" t="str">
        <f t="shared" si="25"/>
        <v/>
      </c>
      <c r="AQ30" s="515" t="str">
        <f t="shared" si="5"/>
        <v/>
      </c>
      <c r="AR30" s="516" t="str">
        <f t="shared" si="26"/>
        <v/>
      </c>
      <c r="AS30" s="515" t="str">
        <f t="shared" si="6"/>
        <v/>
      </c>
      <c r="AT30" s="285" t="str">
        <f t="shared" si="27"/>
        <v/>
      </c>
      <c r="AU30" s="512"/>
      <c r="AV30" s="527" t="str">
        <f t="shared" si="20"/>
        <v/>
      </c>
      <c r="AW30" s="511" t="str">
        <f t="shared" si="28"/>
        <v/>
      </c>
      <c r="AX30" s="515" t="str">
        <f t="shared" si="29"/>
        <v/>
      </c>
      <c r="AY30" s="516" t="str">
        <f t="shared" si="30"/>
        <v/>
      </c>
      <c r="AZ30" s="515" t="str">
        <f t="array" ref="AZ30">IF(INDEX($I$4:$I$40,MATCH($AW30,$E$4:$E$40,0))="100","",INDEX($I$4:$I$40,MATCH($AW30,$E$4:$E$40,0)))</f>
        <v/>
      </c>
      <c r="BA30" s="285" t="str">
        <f t="shared" si="7"/>
        <v/>
      </c>
    </row>
    <row r="31" spans="1:53" ht="24" customHeight="1">
      <c r="A31" s="38" t="str">
        <f>IF(E31&lt;&gt;"",SUMPRODUCT(--(I31&gt;$I$4:$I$40))+COUNTIF($I$4:I31,I31),"")</f>
        <v/>
      </c>
      <c r="B31" s="38" t="str">
        <f>IF(E31&lt;&gt;"",SUMPRODUCT(--(G31&gt;$G$4:$G$40))+COUNTIF($G$4:G31,G31),"")</f>
        <v/>
      </c>
      <c r="C31" s="506" t="str">
        <f t="shared" si="8"/>
        <v/>
      </c>
      <c r="D31" s="38" t="str">
        <f>IF(E31&lt;&gt;"",COUNTIFS(I:I,"&lt;"&amp;I31)+COUNTIF($I$4:I31,I31),"")</f>
        <v/>
      </c>
      <c r="E31" s="278" t="str">
        <f>IF(Liste!B30&lt;&gt;"",Liste!B30,"")</f>
        <v/>
      </c>
      <c r="F31" s="279" t="str">
        <f>IF(Liste!C30&lt;&gt;"",Liste!C30,"")</f>
        <v/>
      </c>
      <c r="G31" s="280" t="str">
        <f>IF(E31&lt;&gt;"",IF(Perf.Sprint!$M31&lt;&gt;"",Perf.Sprint!$M31,100),"")</f>
        <v/>
      </c>
      <c r="H31" s="281" t="str">
        <f>IF(E31&lt;&gt;"",IF(Perf.Sprint!$O31&lt;&gt;"",Perf.Sprint!$O31,100),"")</f>
        <v/>
      </c>
      <c r="I31" s="280" t="str">
        <f>IF(E31&lt;&gt;"",IF(Perf.Sprint!$Y31&lt;&gt;"",Perf.Sprint!$Y31,100),"")</f>
        <v/>
      </c>
      <c r="J31" s="281" t="str">
        <f>IF(E31&lt;&gt;"",IF(Perf.Sprint!$AA31&lt;&gt;"",Perf.Sprint!$AA31,100),"")</f>
        <v/>
      </c>
      <c r="K31" s="38">
        <v>28</v>
      </c>
      <c r="L31" s="20" t="str">
        <f t="array" ref="L31">IF(ROWS($2:29)&lt;=COUNTIF($F$4:$F$40,"F"),INDEX($E$4:$E$40,SMALL(IF($F$4:$F$40="F",MATCH($E$4:$E$40,$E$4:$E$40,0)),ROWS($2:29))),"")</f>
        <v/>
      </c>
      <c r="M31" s="38" t="str">
        <f t="shared" si="0"/>
        <v/>
      </c>
      <c r="N31" s="38" t="str">
        <f t="shared" si="1"/>
        <v/>
      </c>
      <c r="O31" s="38" t="str">
        <f t="shared" si="9"/>
        <v/>
      </c>
      <c r="P31" s="38" t="str">
        <f t="shared" si="2"/>
        <v/>
      </c>
      <c r="Q31" s="38" t="str">
        <f t="shared" si="10"/>
        <v/>
      </c>
      <c r="R31" s="38" t="str">
        <f>IF(L31&lt;&gt;"",SUMPRODUCT(--(N31&gt;$N$4:$N$40))+COUNTIF($N$4:N31,N31),"")</f>
        <v/>
      </c>
      <c r="S31" s="38" t="str">
        <f>IF(L31&lt;&gt;"",SUMPRODUCT(--(P31&gt;$P$4:$P$40))+COUNTIF($P$4:P31,P31),"")</f>
        <v/>
      </c>
      <c r="T31" s="307" t="str">
        <f t="shared" si="11"/>
        <v/>
      </c>
      <c r="U31" s="38" t="str">
        <f>IF(S31&lt;&gt;"",SUMPRODUCT(--(S31&gt;$S$4:$S$40))+COUNTIF(S$4:$S31,S31),"")</f>
        <v/>
      </c>
      <c r="V31" s="282"/>
      <c r="W31" s="527" t="str">
        <f t="shared" si="12"/>
        <v/>
      </c>
      <c r="X31" s="46" t="str">
        <f t="shared" si="21"/>
        <v/>
      </c>
      <c r="Y31" s="517" t="str">
        <f t="shared" si="22"/>
        <v/>
      </c>
      <c r="Z31" s="518" t="str">
        <f t="shared" si="23"/>
        <v/>
      </c>
      <c r="AA31" s="519" t="str">
        <f t="shared" si="13"/>
        <v/>
      </c>
      <c r="AB31" s="290" t="str">
        <f t="shared" si="24"/>
        <v/>
      </c>
      <c r="AC31" s="38">
        <v>28</v>
      </c>
      <c r="AD31" s="20" t="str">
        <f t="array" ref="AD31">IF(ROWS($2:29)&lt;=COUNTIF($F$4:$F$40,"M"),INDEX($E$4:$E$40,SMALL(IF($F$4:$F$40="M",MATCH($E$4:$E$40,$E$4:$E$40,0)),ROWS($2:29))),"")</f>
        <v/>
      </c>
      <c r="AE31" s="38" t="str">
        <f t="shared" si="4"/>
        <v/>
      </c>
      <c r="AF31" s="38" t="str">
        <f t="shared" si="14"/>
        <v/>
      </c>
      <c r="AG31" s="38" t="str">
        <f t="shared" si="15"/>
        <v/>
      </c>
      <c r="AH31" s="38" t="str">
        <f t="shared" si="16"/>
        <v/>
      </c>
      <c r="AI31" s="38" t="str">
        <f t="shared" si="17"/>
        <v/>
      </c>
      <c r="AJ31" s="38" t="str">
        <f>IF(AD31&lt;&gt;"",SUMPRODUCT(--(AF31&gt;$AF$4:$AF$40))+COUNTIF($AF$4:AF31,AF31),"")</f>
        <v/>
      </c>
      <c r="AK31" s="38" t="str">
        <f>IF(AD31&lt;&gt;"",SUMPRODUCT(--(AH31&gt;$AH$4:$AH$40))+COUNTIF($AH$4:AH31,AH31),"")</f>
        <v/>
      </c>
      <c r="AL31" s="307" t="str">
        <f t="shared" si="18"/>
        <v/>
      </c>
      <c r="AM31" s="38" t="str">
        <f>IF(AL31&lt;&gt;"",SUMPRODUCT(--(AL31&gt;$AL$4:$AL$40))+COUNTIF(AL$4:$AL31,AL31),"")</f>
        <v/>
      </c>
      <c r="AN31" s="282"/>
      <c r="AO31" s="529" t="str">
        <f t="shared" si="19"/>
        <v/>
      </c>
      <c r="AP31" s="46" t="str">
        <f t="shared" si="25"/>
        <v/>
      </c>
      <c r="AQ31" s="517" t="str">
        <f t="shared" si="5"/>
        <v/>
      </c>
      <c r="AR31" s="518" t="str">
        <f t="shared" si="26"/>
        <v/>
      </c>
      <c r="AS31" s="519" t="str">
        <f t="shared" si="6"/>
        <v/>
      </c>
      <c r="AT31" s="290" t="str">
        <f t="shared" si="27"/>
        <v/>
      </c>
      <c r="AU31" s="513"/>
      <c r="AV31" s="527" t="str">
        <f t="shared" si="20"/>
        <v/>
      </c>
      <c r="AW31" s="510" t="str">
        <f t="shared" si="28"/>
        <v/>
      </c>
      <c r="AX31" s="519" t="str">
        <f t="shared" si="29"/>
        <v/>
      </c>
      <c r="AY31" s="520" t="str">
        <f t="shared" si="30"/>
        <v/>
      </c>
      <c r="AZ31" s="519" t="str">
        <f t="array" ref="AZ31">IF(INDEX($I$4:$I$40,MATCH($AW31,$E$4:$E$40,0))="100","",INDEX($I$4:$I$40,MATCH($AW31,$E$4:$E$40,0)))</f>
        <v/>
      </c>
      <c r="BA31" s="290" t="str">
        <f t="shared" si="7"/>
        <v/>
      </c>
    </row>
    <row r="32" spans="1:53" ht="24" customHeight="1">
      <c r="A32" s="38" t="str">
        <f>IF(E32&lt;&gt;"",SUMPRODUCT(--(I32&gt;$I$4:$I$40))+COUNTIF($I$4:I32,I32),"")</f>
        <v/>
      </c>
      <c r="B32" s="38" t="str">
        <f>IF(E32&lt;&gt;"",SUMPRODUCT(--(G32&gt;$G$4:$G$40))+COUNTIF($G$4:G32,G32),"")</f>
        <v/>
      </c>
      <c r="C32" s="506" t="str">
        <f t="shared" si="8"/>
        <v/>
      </c>
      <c r="D32" s="38" t="str">
        <f>IF(E32&lt;&gt;"",COUNTIFS(I:I,"&lt;"&amp;I32)+COUNTIF($I$4:I32,I32),"")</f>
        <v/>
      </c>
      <c r="E32" s="278" t="str">
        <f>IF(Liste!B31&lt;&gt;"",Liste!B31,"")</f>
        <v/>
      </c>
      <c r="F32" s="279" t="str">
        <f>IF(Liste!C31&lt;&gt;"",Liste!C31,"")</f>
        <v/>
      </c>
      <c r="G32" s="280" t="str">
        <f>IF(E32&lt;&gt;"",IF(Perf.Sprint!$M32&lt;&gt;"",Perf.Sprint!$M32,100),"")</f>
        <v/>
      </c>
      <c r="H32" s="281" t="str">
        <f>IF(E32&lt;&gt;"",IF(Perf.Sprint!$O32&lt;&gt;"",Perf.Sprint!$O32,100),"")</f>
        <v/>
      </c>
      <c r="I32" s="280" t="str">
        <f>IF(E32&lt;&gt;"",IF(Perf.Sprint!$Y32&lt;&gt;"",Perf.Sprint!$Y32,100),"")</f>
        <v/>
      </c>
      <c r="J32" s="281" t="str">
        <f>IF(E32&lt;&gt;"",IF(Perf.Sprint!$AA32&lt;&gt;"",Perf.Sprint!$AA32,100),"")</f>
        <v/>
      </c>
      <c r="K32" s="38">
        <v>29</v>
      </c>
      <c r="L32" s="20" t="str">
        <f t="array" ref="L32">IF(ROWS($2:30)&lt;=COUNTIF($F$4:$F$40,"F"),INDEX($E$4:$E$40,SMALL(IF($F$4:$F$40="F",MATCH($E$4:$E$40,$E$4:$E$40,0)),ROWS($2:30))),"")</f>
        <v/>
      </c>
      <c r="M32" s="38" t="str">
        <f t="shared" si="0"/>
        <v/>
      </c>
      <c r="N32" s="38" t="str">
        <f t="shared" si="1"/>
        <v/>
      </c>
      <c r="O32" s="38" t="str">
        <f t="shared" si="9"/>
        <v/>
      </c>
      <c r="P32" s="38" t="str">
        <f t="shared" si="2"/>
        <v/>
      </c>
      <c r="Q32" s="38" t="str">
        <f t="shared" si="10"/>
        <v/>
      </c>
      <c r="R32" s="38" t="str">
        <f>IF(L32&lt;&gt;"",SUMPRODUCT(--(N32&gt;$N$4:$N$40))+COUNTIF($N$4:N32,N32),"")</f>
        <v/>
      </c>
      <c r="S32" s="38" t="str">
        <f>IF(L32&lt;&gt;"",SUMPRODUCT(--(P32&gt;$P$4:$P$40))+COUNTIF($P$4:P32,P32),"")</f>
        <v/>
      </c>
      <c r="T32" s="307" t="str">
        <f t="shared" si="11"/>
        <v/>
      </c>
      <c r="U32" s="38" t="str">
        <f>IF(S32&lt;&gt;"",SUMPRODUCT(--(S32&gt;$S$4:$S$40))+COUNTIF(S$4:$S32,S32),"")</f>
        <v/>
      </c>
      <c r="V32" s="282"/>
      <c r="W32" s="527" t="str">
        <f t="shared" si="12"/>
        <v/>
      </c>
      <c r="X32" s="532" t="str">
        <f t="shared" si="21"/>
        <v/>
      </c>
      <c r="Y32" s="515" t="str">
        <f t="shared" si="22"/>
        <v/>
      </c>
      <c r="Z32" s="516" t="str">
        <f t="shared" si="23"/>
        <v/>
      </c>
      <c r="AA32" s="515" t="str">
        <f t="shared" si="13"/>
        <v/>
      </c>
      <c r="AB32" s="285" t="str">
        <f t="shared" si="24"/>
        <v/>
      </c>
      <c r="AC32" s="38">
        <v>29</v>
      </c>
      <c r="AD32" s="20" t="str">
        <f t="array" ref="AD32">IF(ROWS($2:30)&lt;=COUNTIF($F$4:$F$40,"M"),INDEX($E$4:$E$40,SMALL(IF($F$4:$F$40="M",MATCH($E$4:$E$40,$E$4:$E$40,0)),ROWS($2:30))),"")</f>
        <v/>
      </c>
      <c r="AE32" s="38" t="str">
        <f t="shared" si="4"/>
        <v/>
      </c>
      <c r="AF32" s="38" t="str">
        <f t="shared" si="14"/>
        <v/>
      </c>
      <c r="AG32" s="38" t="str">
        <f t="shared" si="15"/>
        <v/>
      </c>
      <c r="AH32" s="38" t="str">
        <f t="shared" si="16"/>
        <v/>
      </c>
      <c r="AI32" s="38" t="str">
        <f t="shared" si="17"/>
        <v/>
      </c>
      <c r="AJ32" s="38" t="str">
        <f>IF(AD32&lt;&gt;"",SUMPRODUCT(--(AF32&gt;$AF$4:$AF$40))+COUNTIF($AF$4:AF32,AF32),"")</f>
        <v/>
      </c>
      <c r="AK32" s="38" t="str">
        <f>IF(AD32&lt;&gt;"",SUMPRODUCT(--(AH32&gt;$AH$4:$AH$40))+COUNTIF($AH$4:AH32,AH32),"")</f>
        <v/>
      </c>
      <c r="AL32" s="307" t="str">
        <f t="shared" si="18"/>
        <v/>
      </c>
      <c r="AM32" s="38" t="str">
        <f>IF(AL32&lt;&gt;"",SUMPRODUCT(--(AL32&gt;$AL$4:$AL$40))+COUNTIF(AL$4:$AL32,AL32),"")</f>
        <v/>
      </c>
      <c r="AN32" s="282"/>
      <c r="AO32" s="529" t="str">
        <f t="shared" si="19"/>
        <v/>
      </c>
      <c r="AP32" s="532" t="str">
        <f t="shared" si="25"/>
        <v/>
      </c>
      <c r="AQ32" s="515" t="str">
        <f t="shared" si="5"/>
        <v/>
      </c>
      <c r="AR32" s="516" t="str">
        <f t="shared" si="26"/>
        <v/>
      </c>
      <c r="AS32" s="515" t="str">
        <f t="shared" si="6"/>
        <v/>
      </c>
      <c r="AT32" s="285" t="str">
        <f t="shared" si="27"/>
        <v/>
      </c>
      <c r="AU32" s="512"/>
      <c r="AV32" s="527" t="str">
        <f t="shared" si="20"/>
        <v/>
      </c>
      <c r="AW32" s="511" t="str">
        <f t="shared" si="28"/>
        <v/>
      </c>
      <c r="AX32" s="515" t="str">
        <f t="shared" si="29"/>
        <v/>
      </c>
      <c r="AY32" s="516" t="str">
        <f t="shared" si="30"/>
        <v/>
      </c>
      <c r="AZ32" s="515" t="str">
        <f t="array" ref="AZ32">IF(INDEX($I$4:$I$40,MATCH($AW32,$E$4:$E$40,0))="100","",INDEX($I$4:$I$40,MATCH($AW32,$E$4:$E$40,0)))</f>
        <v/>
      </c>
      <c r="BA32" s="285" t="str">
        <f t="shared" si="7"/>
        <v/>
      </c>
    </row>
    <row r="33" spans="1:53" ht="24" customHeight="1">
      <c r="A33" s="38" t="str">
        <f>IF(E33&lt;&gt;"",SUMPRODUCT(--(I33&gt;$I$4:$I$40))+COUNTIF($I$4:I33,I33),"")</f>
        <v/>
      </c>
      <c r="B33" s="38" t="str">
        <f>IF(E33&lt;&gt;"",SUMPRODUCT(--(G33&gt;$G$4:$G$40))+COUNTIF($G$4:G33,G33),"")</f>
        <v/>
      </c>
      <c r="C33" s="506" t="str">
        <f t="shared" si="8"/>
        <v/>
      </c>
      <c r="D33" s="38" t="str">
        <f>IF(E33&lt;&gt;"",COUNTIFS(I:I,"&lt;"&amp;I33)+COUNTIF($I$4:I33,I33),"")</f>
        <v/>
      </c>
      <c r="E33" s="278" t="str">
        <f>IF(Liste!B32&lt;&gt;"",Liste!B32,"")</f>
        <v/>
      </c>
      <c r="F33" s="279" t="str">
        <f>IF(Liste!C32&lt;&gt;"",Liste!C32,"")</f>
        <v/>
      </c>
      <c r="G33" s="280" t="str">
        <f>IF(E33&lt;&gt;"",IF(Perf.Sprint!$M33&lt;&gt;"",Perf.Sprint!$M33,100),"")</f>
        <v/>
      </c>
      <c r="H33" s="281" t="str">
        <f>IF(E33&lt;&gt;"",IF(Perf.Sprint!$O33&lt;&gt;"",Perf.Sprint!$O33,100),"")</f>
        <v/>
      </c>
      <c r="I33" s="280" t="str">
        <f>IF(E33&lt;&gt;"",IF(Perf.Sprint!$Y33&lt;&gt;"",Perf.Sprint!$Y33,100),"")</f>
        <v/>
      </c>
      <c r="J33" s="281" t="str">
        <f>IF(E33&lt;&gt;"",IF(Perf.Sprint!$AA33&lt;&gt;"",Perf.Sprint!$AA33,100),"")</f>
        <v/>
      </c>
      <c r="K33" s="38">
        <v>30</v>
      </c>
      <c r="L33" s="20" t="str">
        <f t="array" ref="L33">IF(ROWS($2:31)&lt;=COUNTIF($F$4:$F$40,"F"),INDEX($E$4:$E$40,SMALL(IF($F$4:$F$40="F",MATCH($E$4:$E$40,$E$4:$E$40,0)),ROWS($2:31))),"")</f>
        <v/>
      </c>
      <c r="M33" s="38" t="str">
        <f t="shared" si="0"/>
        <v/>
      </c>
      <c r="N33" s="38" t="str">
        <f t="shared" si="1"/>
        <v/>
      </c>
      <c r="O33" s="38" t="str">
        <f t="shared" si="9"/>
        <v/>
      </c>
      <c r="P33" s="38" t="str">
        <f t="shared" si="2"/>
        <v/>
      </c>
      <c r="Q33" s="38" t="str">
        <f t="shared" si="10"/>
        <v/>
      </c>
      <c r="R33" s="38" t="str">
        <f>IF(L33&lt;&gt;"",SUMPRODUCT(--(N33&gt;$N$4:$N$40))+COUNTIF($N$4:N33,N33),"")</f>
        <v/>
      </c>
      <c r="S33" s="38" t="str">
        <f>IF(L33&lt;&gt;"",SUMPRODUCT(--(P33&gt;$P$4:$P$40))+COUNTIF($P$4:P33,P33),"")</f>
        <v/>
      </c>
      <c r="T33" s="307" t="str">
        <f t="shared" si="11"/>
        <v/>
      </c>
      <c r="U33" s="38" t="str">
        <f>IF(S33&lt;&gt;"",SUMPRODUCT(--(S33&gt;$S$4:$S$40))+COUNTIF(S$4:$S33,S33),"")</f>
        <v/>
      </c>
      <c r="V33" s="282"/>
      <c r="W33" s="527" t="str">
        <f t="shared" si="12"/>
        <v/>
      </c>
      <c r="X33" s="46" t="str">
        <f t="shared" si="21"/>
        <v/>
      </c>
      <c r="Y33" s="517" t="str">
        <f t="shared" si="22"/>
        <v/>
      </c>
      <c r="Z33" s="518" t="str">
        <f t="shared" si="23"/>
        <v/>
      </c>
      <c r="AA33" s="519" t="str">
        <f t="shared" si="13"/>
        <v/>
      </c>
      <c r="AB33" s="290" t="str">
        <f t="shared" si="24"/>
        <v/>
      </c>
      <c r="AC33" s="38">
        <v>30</v>
      </c>
      <c r="AD33" s="20" t="str">
        <f t="array" ref="AD33">IF(ROWS($2:31)&lt;=COUNTIF($F$4:$F$40,"M"),INDEX($E$4:$E$40,SMALL(IF($F$4:$F$40="M",MATCH($E$4:$E$40,$E$4:$E$40,0)),ROWS($2:31))),"")</f>
        <v/>
      </c>
      <c r="AE33" s="38" t="str">
        <f t="shared" si="4"/>
        <v/>
      </c>
      <c r="AF33" s="38" t="str">
        <f t="shared" si="14"/>
        <v/>
      </c>
      <c r="AG33" s="38" t="str">
        <f t="shared" si="15"/>
        <v/>
      </c>
      <c r="AH33" s="38" t="str">
        <f t="shared" si="16"/>
        <v/>
      </c>
      <c r="AI33" s="38" t="str">
        <f t="shared" si="17"/>
        <v/>
      </c>
      <c r="AJ33" s="38" t="str">
        <f>IF(AD33&lt;&gt;"",SUMPRODUCT(--(AF33&gt;$AF$4:$AF$40))+COUNTIF($AF$4:AF33,AF33),"")</f>
        <v/>
      </c>
      <c r="AK33" s="38" t="str">
        <f>IF(AD33&lt;&gt;"",SUMPRODUCT(--(AH33&gt;$AH$4:$AH$40))+COUNTIF($AH$4:AH33,AH33),"")</f>
        <v/>
      </c>
      <c r="AL33" s="307" t="str">
        <f t="shared" si="18"/>
        <v/>
      </c>
      <c r="AM33" s="38" t="str">
        <f>IF(AL33&lt;&gt;"",SUMPRODUCT(--(AL33&gt;$AL$4:$AL$40))+COUNTIF(AL$4:$AL33,AL33),"")</f>
        <v/>
      </c>
      <c r="AN33" s="282"/>
      <c r="AO33" s="529" t="str">
        <f t="shared" si="19"/>
        <v/>
      </c>
      <c r="AP33" s="46" t="str">
        <f t="shared" si="25"/>
        <v/>
      </c>
      <c r="AQ33" s="517" t="str">
        <f t="shared" si="5"/>
        <v/>
      </c>
      <c r="AR33" s="518" t="str">
        <f t="shared" si="26"/>
        <v/>
      </c>
      <c r="AS33" s="519" t="str">
        <f t="shared" si="6"/>
        <v/>
      </c>
      <c r="AT33" s="290" t="str">
        <f t="shared" si="27"/>
        <v/>
      </c>
      <c r="AU33" s="513"/>
      <c r="AV33" s="527" t="str">
        <f t="shared" si="20"/>
        <v/>
      </c>
      <c r="AW33" s="510" t="str">
        <f t="shared" si="28"/>
        <v/>
      </c>
      <c r="AX33" s="519" t="str">
        <f t="shared" si="29"/>
        <v/>
      </c>
      <c r="AY33" s="520" t="str">
        <f t="shared" si="30"/>
        <v/>
      </c>
      <c r="AZ33" s="519" t="str">
        <f t="array" ref="AZ33">IF(INDEX($I$4:$I$40,MATCH($AW33,$E$4:$E$40,0))="100","",INDEX($I$4:$I$40,MATCH($AW33,$E$4:$E$40,0)))</f>
        <v/>
      </c>
      <c r="BA33" s="290" t="str">
        <f t="shared" si="7"/>
        <v/>
      </c>
    </row>
    <row r="34" spans="1:53" ht="24" customHeight="1">
      <c r="A34" s="38" t="str">
        <f>IF(E34&lt;&gt;"",SUMPRODUCT(--(I34&gt;$I$4:$I$40))+COUNTIF($I$4:I34,I34),"")</f>
        <v/>
      </c>
      <c r="B34" s="38" t="str">
        <f>IF(E34&lt;&gt;"",SUMPRODUCT(--(G34&gt;$G$4:$G$40))+COUNTIF($G$4:G34,G34),"")</f>
        <v/>
      </c>
      <c r="C34" s="506" t="str">
        <f t="shared" si="8"/>
        <v/>
      </c>
      <c r="D34" s="38" t="str">
        <f>IF(E34&lt;&gt;"",COUNTIFS(I:I,"&lt;"&amp;I34)+COUNTIF($I$4:I34,I34),"")</f>
        <v/>
      </c>
      <c r="E34" s="278" t="str">
        <f>IF(Liste!B33&lt;&gt;"",Liste!B33,"")</f>
        <v/>
      </c>
      <c r="F34" s="279" t="str">
        <f>IF(Liste!C33&lt;&gt;"",Liste!C33,"")</f>
        <v/>
      </c>
      <c r="G34" s="280" t="str">
        <f>IF(E34&lt;&gt;"",IF(Perf.Sprint!$M34&lt;&gt;"",Perf.Sprint!$M34,100),"")</f>
        <v/>
      </c>
      <c r="H34" s="281" t="str">
        <f>IF(E34&lt;&gt;"",IF(Perf.Sprint!$O34&lt;&gt;"",Perf.Sprint!$O34,100),"")</f>
        <v/>
      </c>
      <c r="I34" s="280" t="str">
        <f>IF(E34&lt;&gt;"",IF(Perf.Sprint!$Y34&lt;&gt;"",Perf.Sprint!$Y34,100),"")</f>
        <v/>
      </c>
      <c r="J34" s="281" t="str">
        <f>IF(E34&lt;&gt;"",IF(Perf.Sprint!$AA34&lt;&gt;"",Perf.Sprint!$AA34,100),"")</f>
        <v/>
      </c>
      <c r="K34" s="38">
        <v>31</v>
      </c>
      <c r="L34" s="20" t="str">
        <f t="array" ref="L34">IF(ROWS($2:32)&lt;=COUNTIF($F$4:$F$40,"F"),INDEX($E$4:$E$40,SMALL(IF($F$4:$F$40="F",MATCH($E$4:$E$40,$E$4:$E$40,0)),ROWS($2:32))),"")</f>
        <v/>
      </c>
      <c r="M34" s="38" t="str">
        <f t="shared" si="0"/>
        <v/>
      </c>
      <c r="N34" s="38" t="str">
        <f t="shared" si="1"/>
        <v/>
      </c>
      <c r="O34" s="38" t="str">
        <f t="shared" si="9"/>
        <v/>
      </c>
      <c r="P34" s="38" t="str">
        <f t="shared" si="2"/>
        <v/>
      </c>
      <c r="Q34" s="38" t="str">
        <f t="shared" si="10"/>
        <v/>
      </c>
      <c r="R34" s="38" t="str">
        <f>IF(L34&lt;&gt;"",SUMPRODUCT(--(N34&gt;$N$4:$N$40))+COUNTIF($N$4:N34,N34),"")</f>
        <v/>
      </c>
      <c r="S34" s="38" t="str">
        <f>IF(L34&lt;&gt;"",SUMPRODUCT(--(P34&gt;$P$4:$P$40))+COUNTIF($P$4:P34,P34),"")</f>
        <v/>
      </c>
      <c r="T34" s="307" t="str">
        <f t="shared" si="11"/>
        <v/>
      </c>
      <c r="U34" s="38" t="str">
        <f>IF(S34&lt;&gt;"",SUMPRODUCT(--(S34&gt;$S$4:$S$40))+COUNTIF(S$4:$S34,S34),"")</f>
        <v/>
      </c>
      <c r="V34" s="282"/>
      <c r="W34" s="527" t="str">
        <f t="shared" si="12"/>
        <v/>
      </c>
      <c r="X34" s="532" t="str">
        <f t="shared" si="21"/>
        <v/>
      </c>
      <c r="Y34" s="515" t="str">
        <f t="shared" si="22"/>
        <v/>
      </c>
      <c r="Z34" s="516" t="str">
        <f t="shared" si="23"/>
        <v/>
      </c>
      <c r="AA34" s="515" t="str">
        <f t="shared" si="13"/>
        <v/>
      </c>
      <c r="AB34" s="285" t="str">
        <f t="shared" si="24"/>
        <v/>
      </c>
      <c r="AC34" s="38">
        <v>31</v>
      </c>
      <c r="AD34" s="20" t="str">
        <f t="array" ref="AD34">IF(ROWS($2:32)&lt;=COUNTIF($F$4:$F$40,"M"),INDEX($E$4:$E$40,SMALL(IF($F$4:$F$40="M",MATCH($E$4:$E$40,$E$4:$E$40,0)),ROWS($2:32))),"")</f>
        <v/>
      </c>
      <c r="AE34" s="38" t="str">
        <f t="shared" si="4"/>
        <v/>
      </c>
      <c r="AF34" s="38" t="str">
        <f t="shared" si="14"/>
        <v/>
      </c>
      <c r="AG34" s="38" t="str">
        <f t="shared" si="15"/>
        <v/>
      </c>
      <c r="AH34" s="38" t="str">
        <f t="shared" si="16"/>
        <v/>
      </c>
      <c r="AI34" s="38" t="str">
        <f t="shared" si="17"/>
        <v/>
      </c>
      <c r="AJ34" s="38" t="str">
        <f>IF(AD34&lt;&gt;"",SUMPRODUCT(--(AF34&gt;$AF$4:$AF$40))+COUNTIF($AF$4:AF34,AF34),"")</f>
        <v/>
      </c>
      <c r="AK34" s="38" t="str">
        <f>IF(AD34&lt;&gt;"",SUMPRODUCT(--(AH34&gt;$AH$4:$AH$40))+COUNTIF($AH$4:AH34,AH34),"")</f>
        <v/>
      </c>
      <c r="AL34" s="307" t="str">
        <f t="shared" si="18"/>
        <v/>
      </c>
      <c r="AM34" s="38" t="str">
        <f>IF(AL34&lt;&gt;"",SUMPRODUCT(--(AL34&gt;$AL$4:$AL$40))+COUNTIF(AL$4:$AL34,AL34),"")</f>
        <v/>
      </c>
      <c r="AN34" s="282"/>
      <c r="AO34" s="529" t="str">
        <f t="shared" si="19"/>
        <v/>
      </c>
      <c r="AP34" s="532" t="str">
        <f t="shared" si="25"/>
        <v/>
      </c>
      <c r="AQ34" s="515" t="str">
        <f t="shared" si="5"/>
        <v/>
      </c>
      <c r="AR34" s="516" t="str">
        <f t="shared" si="26"/>
        <v/>
      </c>
      <c r="AS34" s="515" t="str">
        <f t="shared" si="6"/>
        <v/>
      </c>
      <c r="AT34" s="285" t="str">
        <f t="shared" si="27"/>
        <v/>
      </c>
      <c r="AU34" s="512"/>
      <c r="AV34" s="527" t="str">
        <f t="shared" si="20"/>
        <v/>
      </c>
      <c r="AW34" s="511" t="str">
        <f t="shared" si="28"/>
        <v/>
      </c>
      <c r="AX34" s="515" t="str">
        <f t="shared" si="29"/>
        <v/>
      </c>
      <c r="AY34" s="516" t="str">
        <f t="shared" si="30"/>
        <v/>
      </c>
      <c r="AZ34" s="515" t="str">
        <f t="array" ref="AZ34">IF(INDEX($I$4:$I$40,MATCH($AW34,$E$4:$E$40,0))="100","",INDEX($I$4:$I$40,MATCH($AW34,$E$4:$E$40,0)))</f>
        <v/>
      </c>
      <c r="BA34" s="285" t="str">
        <f t="shared" si="7"/>
        <v/>
      </c>
    </row>
    <row r="35" spans="1:53" ht="24" customHeight="1">
      <c r="A35" s="38" t="str">
        <f>IF(E35&lt;&gt;"",SUMPRODUCT(--(I35&gt;$I$4:$I$40))+COUNTIF($I$4:I35,I35),"")</f>
        <v/>
      </c>
      <c r="B35" s="38" t="str">
        <f>IF(E35&lt;&gt;"",SUMPRODUCT(--(G35&gt;$G$4:$G$40))+COUNTIF($G$4:G35,G35),"")</f>
        <v/>
      </c>
      <c r="C35" s="506" t="str">
        <f t="shared" si="8"/>
        <v/>
      </c>
      <c r="D35" s="38" t="str">
        <f>IF(E35&lt;&gt;"",COUNTIFS(I:I,"&lt;"&amp;I35)+COUNTIF($I$4:I35,I35),"")</f>
        <v/>
      </c>
      <c r="E35" s="278" t="str">
        <f>IF(Liste!B34&lt;&gt;"",Liste!B34,"")</f>
        <v/>
      </c>
      <c r="F35" s="279" t="str">
        <f>IF(Liste!C34&lt;&gt;"",Liste!C34,"")</f>
        <v/>
      </c>
      <c r="G35" s="280" t="str">
        <f>IF(E35&lt;&gt;"",IF(Perf.Sprint!$M35&lt;&gt;"",Perf.Sprint!$M35,100),"")</f>
        <v/>
      </c>
      <c r="H35" s="281" t="str">
        <f>IF(E35&lt;&gt;"",IF(Perf.Sprint!$O35&lt;&gt;"",Perf.Sprint!$O35,100),"")</f>
        <v/>
      </c>
      <c r="I35" s="280" t="str">
        <f>IF(E35&lt;&gt;"",IF(Perf.Sprint!$Y35&lt;&gt;"",Perf.Sprint!$Y35,100),"")</f>
        <v/>
      </c>
      <c r="J35" s="281" t="str">
        <f>IF(E35&lt;&gt;"",IF(Perf.Sprint!$AA35&lt;&gt;"",Perf.Sprint!$AA35,100),"")</f>
        <v/>
      </c>
      <c r="K35" s="38">
        <v>32</v>
      </c>
      <c r="L35" s="20" t="str">
        <f t="array" ref="L35">IF(ROWS($2:33)&lt;=COUNTIF($F$4:$F$40,"F"),INDEX($E$4:$E$40,SMALL(IF($F$4:$F$40="F",MATCH($E$4:$E$40,$E$4:$E$40,0)),ROWS($2:33))),"")</f>
        <v/>
      </c>
      <c r="M35" s="38" t="str">
        <f t="shared" si="0"/>
        <v/>
      </c>
      <c r="N35" s="38" t="str">
        <f t="shared" si="1"/>
        <v/>
      </c>
      <c r="O35" s="38" t="str">
        <f t="shared" si="9"/>
        <v/>
      </c>
      <c r="P35" s="38" t="str">
        <f t="shared" si="2"/>
        <v/>
      </c>
      <c r="Q35" s="38" t="str">
        <f t="shared" si="10"/>
        <v/>
      </c>
      <c r="R35" s="38" t="str">
        <f>IF(L35&lt;&gt;"",SUMPRODUCT(--(N35&gt;$N$4:$N$40))+COUNTIF($N$4:N35,N35),"")</f>
        <v/>
      </c>
      <c r="S35" s="38" t="str">
        <f>IF(L35&lt;&gt;"",SUMPRODUCT(--(P35&gt;$P$4:$P$40))+COUNTIF($P$4:P35,P35),"")</f>
        <v/>
      </c>
      <c r="T35" s="307" t="str">
        <f t="shared" si="11"/>
        <v/>
      </c>
      <c r="U35" s="38" t="str">
        <f>IF(S35&lt;&gt;"",SUMPRODUCT(--(S35&gt;$S$4:$S$40))+COUNTIF(S$4:$S35,S35),"")</f>
        <v/>
      </c>
      <c r="V35" s="282"/>
      <c r="W35" s="527" t="str">
        <f t="shared" si="12"/>
        <v/>
      </c>
      <c r="X35" s="46" t="str">
        <f t="shared" si="21"/>
        <v/>
      </c>
      <c r="Y35" s="517" t="str">
        <f t="shared" si="22"/>
        <v/>
      </c>
      <c r="Z35" s="518" t="str">
        <f t="shared" si="23"/>
        <v/>
      </c>
      <c r="AA35" s="519" t="str">
        <f t="shared" si="13"/>
        <v/>
      </c>
      <c r="AB35" s="290" t="str">
        <f t="shared" si="24"/>
        <v/>
      </c>
      <c r="AC35" s="38">
        <v>32</v>
      </c>
      <c r="AD35" s="20" t="str">
        <f t="array" ref="AD35">IF(ROWS($2:33)&lt;=COUNTIF($F$4:$F$40,"M"),INDEX($E$4:$E$40,SMALL(IF($F$4:$F$40="M",MATCH($E$4:$E$40,$E$4:$E$40,0)),ROWS($2:33))),"")</f>
        <v/>
      </c>
      <c r="AE35" s="38" t="str">
        <f t="shared" si="4"/>
        <v/>
      </c>
      <c r="AF35" s="38" t="str">
        <f t="shared" si="14"/>
        <v/>
      </c>
      <c r="AG35" s="38" t="str">
        <f t="shared" si="15"/>
        <v/>
      </c>
      <c r="AH35" s="38" t="str">
        <f t="shared" si="16"/>
        <v/>
      </c>
      <c r="AI35" s="38" t="str">
        <f t="shared" si="17"/>
        <v/>
      </c>
      <c r="AJ35" s="38" t="str">
        <f>IF(AD35&lt;&gt;"",SUMPRODUCT(--(AF35&gt;$AF$4:$AF$40))+COUNTIF($AF$4:AF35,AF35),"")</f>
        <v/>
      </c>
      <c r="AK35" s="38" t="str">
        <f>IF(AD35&lt;&gt;"",SUMPRODUCT(--(AH35&gt;$AH$4:$AH$40))+COUNTIF($AH$4:AH35,AH35),"")</f>
        <v/>
      </c>
      <c r="AL35" s="307" t="str">
        <f t="shared" si="18"/>
        <v/>
      </c>
      <c r="AM35" s="38" t="str">
        <f>IF(AL35&lt;&gt;"",SUMPRODUCT(--(AL35&gt;$AL$4:$AL$40))+COUNTIF(AL$4:$AL35,AL35),"")</f>
        <v/>
      </c>
      <c r="AN35" s="282"/>
      <c r="AO35" s="529" t="str">
        <f t="shared" si="19"/>
        <v/>
      </c>
      <c r="AP35" s="46" t="str">
        <f t="shared" si="25"/>
        <v/>
      </c>
      <c r="AQ35" s="517" t="str">
        <f t="shared" si="5"/>
        <v/>
      </c>
      <c r="AR35" s="518" t="str">
        <f t="shared" si="26"/>
        <v/>
      </c>
      <c r="AS35" s="519" t="str">
        <f t="shared" si="6"/>
        <v/>
      </c>
      <c r="AT35" s="290" t="str">
        <f t="shared" si="27"/>
        <v/>
      </c>
      <c r="AU35" s="513"/>
      <c r="AV35" s="527" t="str">
        <f t="shared" si="20"/>
        <v/>
      </c>
      <c r="AW35" s="510" t="str">
        <f t="shared" si="28"/>
        <v/>
      </c>
      <c r="AX35" s="519" t="str">
        <f t="shared" si="29"/>
        <v/>
      </c>
      <c r="AY35" s="520" t="str">
        <f t="shared" si="30"/>
        <v/>
      </c>
      <c r="AZ35" s="519" t="str">
        <f t="array" ref="AZ35">IF(INDEX($I$4:$I$40,MATCH($AW35,$E$4:$E$40,0))="100","",INDEX($I$4:$I$40,MATCH($AW35,$E$4:$E$40,0)))</f>
        <v/>
      </c>
      <c r="BA35" s="290" t="str">
        <f t="shared" si="7"/>
        <v/>
      </c>
    </row>
    <row r="36" spans="1:53" ht="24" customHeight="1">
      <c r="A36" s="38" t="str">
        <f>IF(E36&lt;&gt;"",SUMPRODUCT(--(I36&gt;$I$4:$I$40))+COUNTIF($I$4:I36,I36),"")</f>
        <v/>
      </c>
      <c r="B36" s="38" t="str">
        <f>IF(E36&lt;&gt;"",SUMPRODUCT(--(G36&gt;$G$4:$G$40))+COUNTIF($G$4:G36,G36),"")</f>
        <v/>
      </c>
      <c r="C36" s="506" t="str">
        <f t="shared" si="8"/>
        <v/>
      </c>
      <c r="D36" s="38" t="str">
        <f>IF(E36&lt;&gt;"",COUNTIFS(I:I,"&lt;"&amp;I36)+COUNTIF($I$4:I36,I36),"")</f>
        <v/>
      </c>
      <c r="E36" s="278" t="str">
        <f>IF(Liste!B35&lt;&gt;"",Liste!B35,"")</f>
        <v/>
      </c>
      <c r="F36" s="279" t="str">
        <f>IF(Liste!C35&lt;&gt;"",Liste!C35,"")</f>
        <v/>
      </c>
      <c r="G36" s="280" t="str">
        <f>IF(E36&lt;&gt;"",IF(Perf.Sprint!$M36&lt;&gt;"",Perf.Sprint!$M36,100),"")</f>
        <v/>
      </c>
      <c r="H36" s="281" t="str">
        <f>IF(E36&lt;&gt;"",IF(Perf.Sprint!$O36&lt;&gt;"",Perf.Sprint!$O36,100),"")</f>
        <v/>
      </c>
      <c r="I36" s="280" t="str">
        <f>IF(E36&lt;&gt;"",IF(Perf.Sprint!$Y36&lt;&gt;"",Perf.Sprint!$Y36,100),"")</f>
        <v/>
      </c>
      <c r="J36" s="281" t="str">
        <f>IF(E36&lt;&gt;"",IF(Perf.Sprint!$AA36&lt;&gt;"",Perf.Sprint!$AA36,100),"")</f>
        <v/>
      </c>
      <c r="K36" s="38">
        <v>33</v>
      </c>
      <c r="L36" s="20" t="str">
        <f t="array" ref="L36">IF(ROWS($2:34)&lt;=COUNTIF($F$4:$F$40,"F"),INDEX($E$4:$E$40,SMALL(IF($F$4:$F$40="F",MATCH($E$4:$E$40,$E$4:$E$40,0)),ROWS($2:34))),"")</f>
        <v/>
      </c>
      <c r="M36" s="38" t="str">
        <f t="shared" si="0"/>
        <v/>
      </c>
      <c r="N36" s="38" t="str">
        <f t="shared" si="1"/>
        <v/>
      </c>
      <c r="O36" s="38" t="str">
        <f t="shared" si="9"/>
        <v/>
      </c>
      <c r="P36" s="38" t="str">
        <f t="shared" si="2"/>
        <v/>
      </c>
      <c r="Q36" s="38" t="str">
        <f t="shared" si="10"/>
        <v/>
      </c>
      <c r="R36" s="38" t="str">
        <f>IF(L36&lt;&gt;"",SUMPRODUCT(--(N36&gt;$N$4:$N$40))+COUNTIF($N$4:N36,N36),"")</f>
        <v/>
      </c>
      <c r="S36" s="38" t="str">
        <f>IF(L36&lt;&gt;"",SUMPRODUCT(--(P36&gt;$P$4:$P$40))+COUNTIF($P$4:P36,P36),"")</f>
        <v/>
      </c>
      <c r="T36" s="307" t="str">
        <f t="shared" si="11"/>
        <v/>
      </c>
      <c r="U36" s="38" t="str">
        <f>IF(S36&lt;&gt;"",SUMPRODUCT(--(S36&gt;$S$4:$S$40))+COUNTIF(S$4:$S36,S36),"")</f>
        <v/>
      </c>
      <c r="V36" s="282"/>
      <c r="W36" s="527" t="str">
        <f t="shared" si="12"/>
        <v/>
      </c>
      <c r="X36" s="532" t="str">
        <f t="shared" si="21"/>
        <v/>
      </c>
      <c r="Y36" s="515" t="str">
        <f t="shared" si="22"/>
        <v/>
      </c>
      <c r="Z36" s="516" t="str">
        <f t="shared" si="23"/>
        <v/>
      </c>
      <c r="AA36" s="515" t="str">
        <f t="shared" si="13"/>
        <v/>
      </c>
      <c r="AB36" s="285" t="str">
        <f t="shared" si="24"/>
        <v/>
      </c>
      <c r="AC36" s="38">
        <v>33</v>
      </c>
      <c r="AD36" s="20" t="str">
        <f t="array" ref="AD36">IF(ROWS($2:34)&lt;=COUNTIF($F$4:$F$40,"M"),INDEX($E$4:$E$40,SMALL(IF($F$4:$F$40="M",MATCH($E$4:$E$40,$E$4:$E$40,0)),ROWS($2:34))),"")</f>
        <v/>
      </c>
      <c r="AE36" s="38" t="str">
        <f t="shared" si="4"/>
        <v/>
      </c>
      <c r="AF36" s="38" t="str">
        <f t="shared" si="14"/>
        <v/>
      </c>
      <c r="AG36" s="38" t="str">
        <f t="shared" si="15"/>
        <v/>
      </c>
      <c r="AH36" s="38" t="str">
        <f t="shared" si="16"/>
        <v/>
      </c>
      <c r="AI36" s="38" t="str">
        <f t="shared" si="17"/>
        <v/>
      </c>
      <c r="AJ36" s="38" t="str">
        <f>IF(AD36&lt;&gt;"",SUMPRODUCT(--(AF36&gt;$AF$4:$AF$40))+COUNTIF($AF$4:AF36,AF36),"")</f>
        <v/>
      </c>
      <c r="AK36" s="38" t="str">
        <f>IF(AD36&lt;&gt;"",SUMPRODUCT(--(AH36&gt;$AH$4:$AH$40))+COUNTIF($AH$4:AH36,AH36),"")</f>
        <v/>
      </c>
      <c r="AL36" s="307" t="str">
        <f t="shared" si="18"/>
        <v/>
      </c>
      <c r="AM36" s="38" t="str">
        <f>IF(AL36&lt;&gt;"",SUMPRODUCT(--(AL36&gt;$AL$4:$AL$40))+COUNTIF(AL$4:$AL36,AL36),"")</f>
        <v/>
      </c>
      <c r="AN36" s="282"/>
      <c r="AO36" s="529" t="str">
        <f t="shared" si="19"/>
        <v/>
      </c>
      <c r="AP36" s="532" t="str">
        <f t="shared" si="25"/>
        <v/>
      </c>
      <c r="AQ36" s="515" t="str">
        <f t="shared" si="5"/>
        <v/>
      </c>
      <c r="AR36" s="516" t="str">
        <f t="shared" si="26"/>
        <v/>
      </c>
      <c r="AS36" s="515" t="str">
        <f t="shared" si="6"/>
        <v/>
      </c>
      <c r="AT36" s="285" t="str">
        <f t="shared" si="27"/>
        <v/>
      </c>
      <c r="AU36" s="512"/>
      <c r="AV36" s="527" t="str">
        <f t="shared" si="20"/>
        <v/>
      </c>
      <c r="AW36" s="511" t="str">
        <f t="shared" si="28"/>
        <v/>
      </c>
      <c r="AX36" s="515" t="str">
        <f t="shared" si="29"/>
        <v/>
      </c>
      <c r="AY36" s="516" t="str">
        <f t="shared" si="30"/>
        <v/>
      </c>
      <c r="AZ36" s="515" t="str">
        <f t="array" ref="AZ36">IF(INDEX($I$4:$I$40,MATCH($AW36,$E$4:$E$40,0))="100","",INDEX($I$4:$I$40,MATCH($AW36,$E$4:$E$40,0)))</f>
        <v/>
      </c>
      <c r="BA36" s="285" t="str">
        <f t="shared" si="7"/>
        <v/>
      </c>
    </row>
    <row r="37" spans="1:53" ht="24" customHeight="1">
      <c r="A37" s="38" t="str">
        <f>IF(E37&lt;&gt;"",SUMPRODUCT(--(I37&gt;$I$4:$I$40))+COUNTIF($I$4:I37,I37),"")</f>
        <v/>
      </c>
      <c r="B37" s="505" t="str">
        <f>IF(F37&lt;&gt;"",COUNTIFS(I:I,"&lt;"&amp;I37)+COUNTIF($I$4:I37,I37),"")</f>
        <v/>
      </c>
      <c r="C37" s="506" t="str">
        <f t="shared" si="8"/>
        <v/>
      </c>
      <c r="D37" s="38" t="str">
        <f>IF(E37&lt;&gt;"",COUNTIFS(I:I,"&lt;"&amp;I37)+COUNTIF($I$4:I37,I37),"")</f>
        <v/>
      </c>
      <c r="E37" s="278" t="str">
        <f>IF(Liste!B36&lt;&gt;"",Liste!B36,"")</f>
        <v/>
      </c>
      <c r="F37" s="279" t="str">
        <f>IF(Liste!C36&lt;&gt;"",Liste!C36,"")</f>
        <v/>
      </c>
      <c r="G37" s="280" t="str">
        <f>IF(E37&lt;&gt;"",IF(Perf.Sprint!$M37&lt;&gt;"",Perf.Sprint!$M37,100),"")</f>
        <v/>
      </c>
      <c r="H37" s="281" t="str">
        <f>IF(E37&lt;&gt;"",IF(Perf.Sprint!$O37&lt;&gt;"",Perf.Sprint!$O37,100),"")</f>
        <v/>
      </c>
      <c r="I37" s="280" t="str">
        <f>IF(E37&lt;&gt;"",IF(Perf.Sprint!$Y37&lt;&gt;"",Perf.Sprint!$Y37,100),"")</f>
        <v/>
      </c>
      <c r="J37" s="281" t="str">
        <f>IF(E37&lt;&gt;"",IF(Perf.Sprint!$AA37&lt;&gt;"",Perf.Sprint!$AA37,100),"")</f>
        <v/>
      </c>
      <c r="K37" s="38">
        <v>34</v>
      </c>
      <c r="L37" s="20" t="str">
        <f t="array" ref="L37">IF(ROWS($2:35)&lt;=COUNTIF($F$4:$F$40,"F"),INDEX($E$4:$E$40,SMALL(IF($F$4:$F$40="F",MATCH($E$4:$E$40,$E$4:$E$40,0)),ROWS($2:35))),"")</f>
        <v/>
      </c>
      <c r="M37" s="38" t="str">
        <f t="shared" si="0"/>
        <v/>
      </c>
      <c r="N37" s="38" t="str">
        <f t="shared" si="1"/>
        <v/>
      </c>
      <c r="O37" s="38" t="str">
        <f t="shared" si="9"/>
        <v/>
      </c>
      <c r="P37" s="38" t="str">
        <f t="shared" si="2"/>
        <v/>
      </c>
      <c r="Q37" s="38" t="str">
        <f t="shared" si="10"/>
        <v/>
      </c>
      <c r="R37" s="38" t="str">
        <f>IF(L37&lt;&gt;"",SUMPRODUCT(--(N37&gt;$N$4:$N$40))+COUNTIF($N$4:N37,N37),"")</f>
        <v/>
      </c>
      <c r="S37" s="38" t="str">
        <f>IF(L37&lt;&gt;"",SUMPRODUCT(--(P37&gt;$P$4:$P$40))+COUNTIF($P$4:P37,P37),"")</f>
        <v/>
      </c>
      <c r="T37" s="307" t="str">
        <f t="shared" si="11"/>
        <v/>
      </c>
      <c r="U37" s="38" t="str">
        <f>IF(S37&lt;&gt;"",SUMPRODUCT(--(S37&gt;$S$4:$S$40))+COUNTIF(S$4:$S37,S37),"")</f>
        <v/>
      </c>
      <c r="V37" s="282"/>
      <c r="W37" s="527" t="str">
        <f t="shared" si="12"/>
        <v/>
      </c>
      <c r="X37" s="46" t="str">
        <f t="shared" si="21"/>
        <v/>
      </c>
      <c r="Y37" s="517" t="str">
        <f t="shared" si="22"/>
        <v/>
      </c>
      <c r="Z37" s="518" t="str">
        <f t="shared" si="23"/>
        <v/>
      </c>
      <c r="AA37" s="519" t="str">
        <f t="shared" si="13"/>
        <v/>
      </c>
      <c r="AB37" s="290" t="str">
        <f t="shared" si="24"/>
        <v/>
      </c>
      <c r="AC37" s="38">
        <v>34</v>
      </c>
      <c r="AD37" s="20" t="str">
        <f t="array" ref="AD37">IF(ROWS($2:35)&lt;=COUNTIF($F$4:$F$40,"M"),INDEX($E$4:$E$40,SMALL(IF($F$4:$F$40="M",MATCH($E$4:$E$40,$E$4:$E$40,0)),ROWS($2:35))),"")</f>
        <v/>
      </c>
      <c r="AE37" s="38" t="str">
        <f t="shared" si="4"/>
        <v/>
      </c>
      <c r="AF37" s="38" t="str">
        <f t="shared" si="14"/>
        <v/>
      </c>
      <c r="AG37" s="38" t="str">
        <f t="shared" si="15"/>
        <v/>
      </c>
      <c r="AH37" s="38" t="str">
        <f t="shared" si="16"/>
        <v/>
      </c>
      <c r="AI37" s="38" t="str">
        <f t="shared" si="17"/>
        <v/>
      </c>
      <c r="AJ37" s="38" t="str">
        <f>IF(AD37&lt;&gt;"",SUMPRODUCT(--(AF37&gt;$AF$4:$AF$40))+COUNTIF($AF$4:AF37,AF37),"")</f>
        <v/>
      </c>
      <c r="AK37" s="38" t="str">
        <f>IF(AD37&lt;&gt;"",SUMPRODUCT(--(AH37&gt;$AH$4:$AH$40))+COUNTIF($AH$4:AH37,AH37),"")</f>
        <v/>
      </c>
      <c r="AL37" s="307" t="str">
        <f t="shared" si="18"/>
        <v/>
      </c>
      <c r="AM37" s="38" t="str">
        <f>IF(AL37&lt;&gt;"",SUMPRODUCT(--(AL37&gt;$AL$4:$AL$40))+COUNTIF(AL$4:$AL37,AL37),"")</f>
        <v/>
      </c>
      <c r="AN37" s="282"/>
      <c r="AO37" s="529" t="str">
        <f t="shared" si="19"/>
        <v/>
      </c>
      <c r="AP37" s="46" t="str">
        <f t="shared" si="25"/>
        <v/>
      </c>
      <c r="AQ37" s="517" t="str">
        <f t="shared" si="5"/>
        <v/>
      </c>
      <c r="AR37" s="518" t="str">
        <f t="shared" si="26"/>
        <v/>
      </c>
      <c r="AS37" s="519" t="str">
        <f t="shared" si="6"/>
        <v/>
      </c>
      <c r="AT37" s="290" t="str">
        <f t="shared" si="27"/>
        <v/>
      </c>
      <c r="AU37" s="513"/>
      <c r="AV37" s="527" t="str">
        <f t="shared" si="20"/>
        <v/>
      </c>
      <c r="AW37" s="510" t="str">
        <f t="shared" si="28"/>
        <v/>
      </c>
      <c r="AX37" s="519" t="str">
        <f t="shared" si="29"/>
        <v/>
      </c>
      <c r="AY37" s="520" t="str">
        <f t="shared" si="30"/>
        <v/>
      </c>
      <c r="AZ37" s="519" t="str">
        <f t="array" ref="AZ37">IF(INDEX($I$4:$I$40,MATCH($AW37,$E$4:$E$40,0))="100","",INDEX($I$4:$I$40,MATCH($AW37,$E$4:$E$40,0)))</f>
        <v/>
      </c>
      <c r="BA37" s="290" t="str">
        <f t="shared" si="7"/>
        <v/>
      </c>
    </row>
    <row r="38" spans="1:53" ht="24" customHeight="1">
      <c r="A38" s="38" t="str">
        <f>IF(E38&lt;&gt;"",SUMPRODUCT(--(I38&gt;$I$4:$I$40))+COUNTIF($I$4:I38,I38),"")</f>
        <v/>
      </c>
      <c r="B38" s="505" t="str">
        <f>IF(F38&lt;&gt;"",COUNTIFS(I:I,"&lt;"&amp;I38)+COUNTIF($I$4:I38,I38),"")</f>
        <v/>
      </c>
      <c r="C38" s="506" t="str">
        <f t="shared" si="8"/>
        <v/>
      </c>
      <c r="D38" s="38" t="str">
        <f>IF(E38&lt;&gt;"",COUNTIFS(I:I,"&lt;"&amp;I38)+COUNTIF($I$4:I38,I38),"")</f>
        <v/>
      </c>
      <c r="E38" s="278" t="str">
        <f>IF(Liste!B37&lt;&gt;"",Liste!B37,"")</f>
        <v/>
      </c>
      <c r="F38" s="279" t="str">
        <f>IF(Liste!C37&lt;&gt;"",Liste!C37,"")</f>
        <v/>
      </c>
      <c r="G38" s="280" t="str">
        <f>IF(E38&lt;&gt;"",IF(Perf.Sprint!$M38&lt;&gt;"",Perf.Sprint!$M38,100),"")</f>
        <v/>
      </c>
      <c r="H38" s="281" t="str">
        <f>IF(E38&lt;&gt;"",IF(Perf.Sprint!$O38&lt;&gt;"",Perf.Sprint!$O38,100),"")</f>
        <v/>
      </c>
      <c r="I38" s="280" t="str">
        <f>IF(E38&lt;&gt;"",IF(Perf.Sprint!$Y38&lt;&gt;"",Perf.Sprint!$Y38,100),"")</f>
        <v/>
      </c>
      <c r="J38" s="281" t="str">
        <f>IF(E38&lt;&gt;"",IF(Perf.Sprint!$AA38&lt;&gt;"",Perf.Sprint!$AA38,100),"")</f>
        <v/>
      </c>
      <c r="K38" s="38">
        <v>35</v>
      </c>
      <c r="L38" s="20" t="str">
        <f t="array" ref="L38">IF(ROWS($2:36)&lt;=COUNTIF($F$4:$F$40,"F"),INDEX($E$4:$E$40,SMALL(IF($F$4:$F$40="F",MATCH($E$4:$E$40,$E$4:$E$40,0)),ROWS($2:36))),"")</f>
        <v/>
      </c>
      <c r="M38" s="38" t="str">
        <f t="shared" si="0"/>
        <v/>
      </c>
      <c r="N38" s="38" t="str">
        <f t="shared" si="1"/>
        <v/>
      </c>
      <c r="O38" s="38" t="str">
        <f t="shared" si="9"/>
        <v/>
      </c>
      <c r="P38" s="38" t="str">
        <f t="shared" si="2"/>
        <v/>
      </c>
      <c r="Q38" s="38" t="str">
        <f t="shared" si="10"/>
        <v/>
      </c>
      <c r="R38" s="38" t="str">
        <f>IF(L38&lt;&gt;"",SUMPRODUCT(--(N38&gt;$N$4:$N$40))+COUNTIF($N$4:N38,N38),"")</f>
        <v/>
      </c>
      <c r="S38" s="38" t="str">
        <f>IF(L38&lt;&gt;"",SUMPRODUCT(--(P38&gt;$P$4:$P$40))+COUNTIF($P$4:P38,P38),"")</f>
        <v/>
      </c>
      <c r="T38" s="307" t="str">
        <f t="shared" si="11"/>
        <v/>
      </c>
      <c r="U38" s="38" t="str">
        <f>IF(S38&lt;&gt;"",SUMPRODUCT(--(S38&gt;$S$4:$S$40))+COUNTIF(S$4:$S38,S38),"")</f>
        <v/>
      </c>
      <c r="V38" s="282"/>
      <c r="W38" s="527" t="str">
        <f t="shared" si="12"/>
        <v/>
      </c>
      <c r="X38" s="532" t="str">
        <f t="shared" si="21"/>
        <v/>
      </c>
      <c r="Y38" s="515" t="str">
        <f t="shared" si="22"/>
        <v/>
      </c>
      <c r="Z38" s="516" t="str">
        <f t="shared" si="23"/>
        <v/>
      </c>
      <c r="AA38" s="515" t="str">
        <f t="shared" si="13"/>
        <v/>
      </c>
      <c r="AB38" s="285" t="str">
        <f t="shared" si="24"/>
        <v/>
      </c>
      <c r="AC38" s="38">
        <v>35</v>
      </c>
      <c r="AD38" s="20" t="str">
        <f t="array" ref="AD38">IF(ROWS($2:36)&lt;=COUNTIF($F$4:$F$40,"M"),INDEX($E$4:$E$40,SMALL(IF($F$4:$F$40="M",MATCH($E$4:$E$40,$E$4:$E$40,0)),ROWS($2:36))),"")</f>
        <v/>
      </c>
      <c r="AE38" s="38" t="str">
        <f t="shared" si="4"/>
        <v/>
      </c>
      <c r="AF38" s="38" t="str">
        <f t="shared" si="14"/>
        <v/>
      </c>
      <c r="AG38" s="38" t="str">
        <f t="shared" si="15"/>
        <v/>
      </c>
      <c r="AH38" s="38" t="str">
        <f t="shared" si="16"/>
        <v/>
      </c>
      <c r="AI38" s="38" t="str">
        <f t="shared" si="17"/>
        <v/>
      </c>
      <c r="AJ38" s="38" t="str">
        <f>IF(AD38&lt;&gt;"",SUMPRODUCT(--(AF38&gt;$AF$4:$AF$40))+COUNTIF($AF$4:AF38,AF38),"")</f>
        <v/>
      </c>
      <c r="AK38" s="38" t="str">
        <f>IF(AD38&lt;&gt;"",SUMPRODUCT(--(AH38&gt;$AH$4:$AH$40))+COUNTIF($AH$4:AH38,AH38),"")</f>
        <v/>
      </c>
      <c r="AL38" s="307" t="str">
        <f t="shared" si="18"/>
        <v/>
      </c>
      <c r="AM38" s="38" t="str">
        <f>IF(AL38&lt;&gt;"",SUMPRODUCT(--(AL38&gt;$AL$4:$AL$40))+COUNTIF(AL$4:$AL38,AL38),"")</f>
        <v/>
      </c>
      <c r="AN38" s="282"/>
      <c r="AO38" s="529" t="str">
        <f t="shared" si="19"/>
        <v/>
      </c>
      <c r="AP38" s="532" t="str">
        <f t="shared" si="25"/>
        <v/>
      </c>
      <c r="AQ38" s="515" t="str">
        <f t="shared" si="5"/>
        <v/>
      </c>
      <c r="AR38" s="516" t="str">
        <f t="shared" si="26"/>
        <v/>
      </c>
      <c r="AS38" s="515" t="str">
        <f t="shared" si="6"/>
        <v/>
      </c>
      <c r="AT38" s="285" t="str">
        <f t="shared" si="27"/>
        <v/>
      </c>
      <c r="AU38" s="512"/>
      <c r="AV38" s="527" t="str">
        <f t="shared" si="20"/>
        <v/>
      </c>
      <c r="AW38" s="511" t="str">
        <f t="shared" si="28"/>
        <v/>
      </c>
      <c r="AX38" s="515" t="str">
        <f t="shared" si="29"/>
        <v/>
      </c>
      <c r="AY38" s="516" t="str">
        <f t="shared" si="30"/>
        <v/>
      </c>
      <c r="AZ38" s="515" t="str">
        <f t="array" ref="AZ38">IF(INDEX($I$4:$I$40,MATCH($AW38,$E$4:$E$40,0))="100","",INDEX($I$4:$I$40,MATCH($AW38,$E$4:$E$40,0)))</f>
        <v/>
      </c>
      <c r="BA38" s="285" t="str">
        <f t="shared" si="7"/>
        <v/>
      </c>
    </row>
    <row r="39" spans="1:53" ht="24" customHeight="1">
      <c r="A39" s="38" t="str">
        <f>IF(E39&lt;&gt;"",SUMPRODUCT(--(I39&gt;$I$4:$I$40))+COUNTIF($I$4:I39,I39),"")</f>
        <v/>
      </c>
      <c r="B39" s="505" t="str">
        <f>IF(F39&lt;&gt;"",COUNTIFS(I:I,"&lt;"&amp;I39)+COUNTIF($I$4:I39,I39),"")</f>
        <v/>
      </c>
      <c r="C39" s="506" t="str">
        <f t="shared" si="8"/>
        <v/>
      </c>
      <c r="D39" s="38" t="str">
        <f>IF(E39&lt;&gt;"",COUNTIFS(I:I,"&lt;"&amp;I39)+COUNTIF($I$4:I39,I39),"")</f>
        <v/>
      </c>
      <c r="E39" s="278" t="str">
        <f>IF(Liste!B38&lt;&gt;"",Liste!B38,"")</f>
        <v/>
      </c>
      <c r="F39" s="279" t="str">
        <f>IF(Liste!C38&lt;&gt;"",Liste!C38,"")</f>
        <v/>
      </c>
      <c r="G39" s="280" t="str">
        <f>IF(E39&lt;&gt;"",IF(Perf.Sprint!$M39&lt;&gt;"",Perf.Sprint!$M39,100),"")</f>
        <v/>
      </c>
      <c r="H39" s="281" t="str">
        <f>IF(E39&lt;&gt;"",IF(Perf.Sprint!$O39&lt;&gt;"",Perf.Sprint!$O39,100),"")</f>
        <v/>
      </c>
      <c r="I39" s="280" t="str">
        <f>IF(E39&lt;&gt;"",IF(Perf.Sprint!$Y39&lt;&gt;"",Perf.Sprint!$Y39,100),"")</f>
        <v/>
      </c>
      <c r="J39" s="281" t="str">
        <f>IF(E39&lt;&gt;"",IF(Perf.Sprint!$AA39&lt;&gt;"",Perf.Sprint!$AA39,100),"")</f>
        <v/>
      </c>
      <c r="K39" s="38">
        <v>36</v>
      </c>
      <c r="L39" s="20" t="str">
        <f t="array" ref="L39">IF(ROWS($2:37)&lt;=COUNTIF($F$4:$F$40,"F"),INDEX($E$4:$E$40,SMALL(IF($F$4:$F$40="F",MATCH($E$4:$E$40,$E$4:$E$40,0)),ROWS($2:37))),"")</f>
        <v/>
      </c>
      <c r="M39" s="38" t="str">
        <f t="shared" si="0"/>
        <v/>
      </c>
      <c r="N39" s="38" t="str">
        <f t="shared" si="1"/>
        <v/>
      </c>
      <c r="O39" s="38" t="str">
        <f t="shared" si="9"/>
        <v/>
      </c>
      <c r="P39" s="38" t="str">
        <f t="shared" si="2"/>
        <v/>
      </c>
      <c r="Q39" s="38" t="str">
        <f t="shared" si="10"/>
        <v/>
      </c>
      <c r="R39" s="38" t="str">
        <f>IF(L39&lt;&gt;"",SUMPRODUCT(--(N39&gt;$N$4:$N$40))+COUNTIF($N$4:N39,N39),"")</f>
        <v/>
      </c>
      <c r="S39" s="38" t="str">
        <f>IF(L39&lt;&gt;"",SUMPRODUCT(--(P39&gt;$P$4:$P$40))+COUNTIF($P$4:P39,P39),"")</f>
        <v/>
      </c>
      <c r="T39" s="307" t="str">
        <f t="shared" si="11"/>
        <v/>
      </c>
      <c r="U39" s="38" t="str">
        <f>IF(S39&lt;&gt;"",SUMPRODUCT(--(S39&gt;$S$4:$S$40))+COUNTIF(S$4:$S39,S39),"")</f>
        <v/>
      </c>
      <c r="V39" s="282"/>
      <c r="W39" s="527" t="str">
        <f t="shared" si="12"/>
        <v/>
      </c>
      <c r="X39" s="46" t="str">
        <f t="shared" si="21"/>
        <v/>
      </c>
      <c r="Y39" s="517" t="str">
        <f t="shared" si="22"/>
        <v/>
      </c>
      <c r="Z39" s="518" t="str">
        <f t="shared" si="23"/>
        <v/>
      </c>
      <c r="AA39" s="519" t="str">
        <f t="shared" si="13"/>
        <v/>
      </c>
      <c r="AB39" s="290" t="str">
        <f t="shared" si="24"/>
        <v/>
      </c>
      <c r="AC39" s="38">
        <v>36</v>
      </c>
      <c r="AD39" s="20" t="str">
        <f t="array" ref="AD39">IF(ROWS($2:37)&lt;=COUNTIF($F$4:$F$40,"M"),INDEX($E$4:$E$40,SMALL(IF($F$4:$F$40="M",MATCH($E$4:$E$40,$E$4:$E$40,0)),ROWS($2:37))),"")</f>
        <v/>
      </c>
      <c r="AE39" s="38" t="str">
        <f t="shared" si="4"/>
        <v/>
      </c>
      <c r="AF39" s="38" t="str">
        <f t="shared" si="14"/>
        <v/>
      </c>
      <c r="AG39" s="38" t="str">
        <f t="shared" si="15"/>
        <v/>
      </c>
      <c r="AH39" s="38" t="str">
        <f t="shared" si="16"/>
        <v/>
      </c>
      <c r="AI39" s="38" t="str">
        <f t="shared" si="17"/>
        <v/>
      </c>
      <c r="AJ39" s="38" t="str">
        <f>IF(AD39&lt;&gt;"",SUMPRODUCT(--(AF39&gt;$AF$4:$AF$40))+COUNTIF($AF$4:AF39,AF39),"")</f>
        <v/>
      </c>
      <c r="AK39" s="38" t="str">
        <f>IF(AD39&lt;&gt;"",SUMPRODUCT(--(AH39&gt;$AH$4:$AH$40))+COUNTIF($AH$4:AH39,AH39),"")</f>
        <v/>
      </c>
      <c r="AL39" s="307" t="str">
        <f t="shared" si="18"/>
        <v/>
      </c>
      <c r="AM39" s="38" t="str">
        <f>IF(AL39&lt;&gt;"",SUMPRODUCT(--(AL39&gt;$AL$4:$AL$40))+COUNTIF(AL$4:$AL39,AL39),"")</f>
        <v/>
      </c>
      <c r="AN39" s="282"/>
      <c r="AO39" s="529" t="str">
        <f t="shared" si="19"/>
        <v/>
      </c>
      <c r="AP39" s="46" t="str">
        <f t="shared" si="25"/>
        <v/>
      </c>
      <c r="AQ39" s="517" t="str">
        <f t="shared" si="5"/>
        <v/>
      </c>
      <c r="AR39" s="518" t="str">
        <f t="shared" si="26"/>
        <v/>
      </c>
      <c r="AS39" s="519" t="str">
        <f t="shared" si="6"/>
        <v/>
      </c>
      <c r="AT39" s="290" t="str">
        <f t="shared" si="27"/>
        <v/>
      </c>
      <c r="AU39" s="513"/>
      <c r="AV39" s="527" t="str">
        <f t="shared" si="20"/>
        <v/>
      </c>
      <c r="AW39" s="510" t="str">
        <f t="shared" si="28"/>
        <v/>
      </c>
      <c r="AX39" s="519" t="str">
        <f t="shared" si="29"/>
        <v/>
      </c>
      <c r="AY39" s="520" t="str">
        <f t="shared" si="30"/>
        <v/>
      </c>
      <c r="AZ39" s="519" t="str">
        <f t="array" ref="AZ39">IF(INDEX($I$4:$I$40,MATCH($AW39,$E$4:$E$40,0))="100","",INDEX($I$4:$I$40,MATCH($AW39,$E$4:$E$40,0)))</f>
        <v/>
      </c>
      <c r="BA39" s="290" t="str">
        <f t="shared" si="7"/>
        <v/>
      </c>
    </row>
    <row r="40" spans="1:53" ht="23.25" customHeight="1" thickBot="1">
      <c r="A40" s="38" t="str">
        <f>IF(E40&lt;&gt;"",SUMPRODUCT(--(I40&gt;$I$4:$I$40))+COUNTIF($I$4:I40,I40),"")</f>
        <v/>
      </c>
      <c r="B40" s="505" t="str">
        <f>IF(F40&lt;&gt;"",COUNTIFS(I:I,"&lt;"&amp;I40)+COUNTIF($I$4:I40,I40),"")</f>
        <v/>
      </c>
      <c r="C40" s="506" t="str">
        <f t="shared" si="8"/>
        <v/>
      </c>
      <c r="D40" s="38" t="str">
        <f>IF(E40&lt;&gt;"",COUNTIFS(I:I,"&lt;"&amp;I40)+COUNTIF($I$4:I40,I40),"")</f>
        <v/>
      </c>
      <c r="E40" s="278" t="str">
        <f>IF(Liste!B39&lt;&gt;"",Liste!B39,"")</f>
        <v/>
      </c>
      <c r="F40" s="279" t="str">
        <f>IF(Liste!C39&lt;&gt;"",Liste!C39,"")</f>
        <v/>
      </c>
      <c r="G40" s="280" t="str">
        <f>IF(E40&lt;&gt;"",IF(Perf.Sprint!$M40&lt;&gt;"",Perf.Sprint!$M40,100),"")</f>
        <v/>
      </c>
      <c r="H40" s="281" t="str">
        <f>IF(E40&lt;&gt;"",IF(Perf.Sprint!$O40&lt;&gt;"",Perf.Sprint!$O40,100),"")</f>
        <v/>
      </c>
      <c r="I40" s="280" t="str">
        <f>IF(E40&lt;&gt;"",IF(Perf.Sprint!$Y40&lt;&gt;"",Perf.Sprint!$Y40,100),"")</f>
        <v/>
      </c>
      <c r="J40" s="281" t="str">
        <f>IF(E40&lt;&gt;"",IF(Perf.Sprint!$AA40&lt;&gt;"",Perf.Sprint!$AA40,100),"")</f>
        <v/>
      </c>
      <c r="K40" s="38">
        <v>37</v>
      </c>
      <c r="L40" s="20" t="str">
        <f t="array" ref="L40">IF(ROWS($2:38)&lt;=COUNTIF($F$4:$F$40,"F"),INDEX($E$4:$E$40,SMALL(IF($F$4:$F$40="F",MATCH($E$4:$E$40,$E$4:$E$40,0)),ROWS($2:38))),"")</f>
        <v/>
      </c>
      <c r="M40" s="38" t="str">
        <f t="shared" si="0"/>
        <v/>
      </c>
      <c r="N40" s="38" t="str">
        <f t="shared" si="1"/>
        <v/>
      </c>
      <c r="O40" s="38" t="str">
        <f t="shared" si="9"/>
        <v/>
      </c>
      <c r="P40" s="38" t="str">
        <f t="shared" si="2"/>
        <v/>
      </c>
      <c r="Q40" s="38" t="str">
        <f t="shared" si="10"/>
        <v/>
      </c>
      <c r="R40" s="38" t="str">
        <f>IF(L40&lt;&gt;"",SUMPRODUCT(--(N40&gt;$N$4:$N$40))+COUNTIF($N$4:N40,N40),"")</f>
        <v/>
      </c>
      <c r="S40" s="38" t="str">
        <f>IF(L40&lt;&gt;"",SUMPRODUCT(--(P40&gt;$P$4:$P$40))+COUNTIF($P$4:P40,P40),"")</f>
        <v/>
      </c>
      <c r="T40" s="307" t="str">
        <f t="shared" si="11"/>
        <v/>
      </c>
      <c r="U40" s="38" t="str">
        <f>IF(S40&lt;&gt;"",SUMPRODUCT(--(S40&gt;$S$4:$S$40))+COUNTIF(S$4:$S40,S40),"")</f>
        <v/>
      </c>
      <c r="V40" s="282"/>
      <c r="W40" s="319" t="str">
        <f t="shared" si="12"/>
        <v/>
      </c>
      <c r="X40" s="533" t="str">
        <f t="shared" si="21"/>
        <v/>
      </c>
      <c r="Y40" s="524" t="str">
        <f t="shared" si="22"/>
        <v/>
      </c>
      <c r="Z40" s="525" t="str">
        <f t="shared" si="23"/>
        <v/>
      </c>
      <c r="AA40" s="524" t="str">
        <f t="shared" si="13"/>
        <v/>
      </c>
      <c r="AB40" s="296" t="str">
        <f t="shared" si="24"/>
        <v/>
      </c>
      <c r="AC40" s="38">
        <v>37</v>
      </c>
      <c r="AD40" s="20" t="str">
        <f t="array" ref="AD40">IF(ROWS($2:38)&lt;=COUNTIF($F$4:$F$40,"M"),INDEX($E$4:$E$40,SMALL(IF($F$4:$F$40="M",MATCH($E$4:$E$40,$E$4:$E$40,0)),ROWS($2:38))),"")</f>
        <v/>
      </c>
      <c r="AE40" s="38" t="str">
        <f t="shared" si="4"/>
        <v/>
      </c>
      <c r="AF40" s="38" t="str">
        <f t="shared" si="14"/>
        <v/>
      </c>
      <c r="AG40" s="38" t="str">
        <f t="shared" si="15"/>
        <v/>
      </c>
      <c r="AH40" s="38" t="str">
        <f t="shared" si="16"/>
        <v/>
      </c>
      <c r="AI40" s="38" t="str">
        <f t="shared" si="17"/>
        <v/>
      </c>
      <c r="AJ40" s="38" t="str">
        <f>IF(AD40&lt;&gt;"",SUMPRODUCT(--(AF40&gt;$AF$4:$AF$40))+COUNTIF($AF$4:AF40,AF40),"")</f>
        <v/>
      </c>
      <c r="AK40" s="38" t="str">
        <f>IF(AD40&lt;&gt;"",SUMPRODUCT(--(AH40&gt;$AH$4:$AH$40))+COUNTIF($AH$4:AH40,AH40),"")</f>
        <v/>
      </c>
      <c r="AL40" s="307" t="str">
        <f t="shared" si="18"/>
        <v/>
      </c>
      <c r="AM40" s="38" t="str">
        <f>IF(AL40&lt;&gt;"",SUMPRODUCT(--(AL40&gt;$AL$4:$AL$40))+COUNTIF(AL$4:$AL40,AL40),"")</f>
        <v/>
      </c>
      <c r="AN40" s="282"/>
      <c r="AO40" s="530" t="str">
        <f t="shared" si="19"/>
        <v/>
      </c>
      <c r="AP40" s="533" t="str">
        <f t="shared" si="25"/>
        <v/>
      </c>
      <c r="AQ40" s="524" t="str">
        <f t="shared" si="5"/>
        <v/>
      </c>
      <c r="AR40" s="525" t="str">
        <f t="shared" si="26"/>
        <v/>
      </c>
      <c r="AS40" s="524" t="str">
        <f t="shared" si="6"/>
        <v/>
      </c>
      <c r="AT40" s="296" t="str">
        <f t="shared" si="27"/>
        <v/>
      </c>
      <c r="AU40" s="514"/>
      <c r="AV40" s="319" t="str">
        <f t="shared" si="20"/>
        <v/>
      </c>
      <c r="AW40" s="509" t="str">
        <f t="shared" si="28"/>
        <v/>
      </c>
      <c r="AX40" s="524" t="str">
        <f t="shared" si="29"/>
        <v/>
      </c>
      <c r="AY40" s="525" t="str">
        <f t="shared" si="30"/>
        <v/>
      </c>
      <c r="AZ40" s="524" t="str">
        <f t="array" ref="AZ40">IF(INDEX($I$4:$I$40,MATCH($AW40,$E$4:$E$40,0))="100","",INDEX($I$4:$I$40,MATCH($AW40,$E$4:$E$40,0)))</f>
        <v/>
      </c>
      <c r="BA40" s="296" t="str">
        <f t="shared" si="7"/>
        <v/>
      </c>
    </row>
    <row r="41" spans="1:53">
      <c r="F41" s="72"/>
      <c r="G41" s="72"/>
      <c r="H41" s="72"/>
      <c r="I41" s="72"/>
      <c r="J41" s="72"/>
      <c r="AM41" s="298"/>
      <c r="AN41" s="299"/>
    </row>
    <row r="42" spans="1:53" hidden="1">
      <c r="F42" s="72"/>
      <c r="G42" s="72"/>
      <c r="H42" s="72"/>
      <c r="I42" s="72"/>
      <c r="J42" s="72"/>
      <c r="AM42" s="298"/>
      <c r="AN42" s="299"/>
    </row>
    <row r="43" spans="1:53"/>
  </sheetData>
  <sheetProtection sheet="1" objects="1" scenarios="1" selectLockedCells="1" selectUnlockedCells="1"/>
  <mergeCells count="5">
    <mergeCell ref="I2:J2"/>
    <mergeCell ref="X2:X3"/>
    <mergeCell ref="AP2:AP3"/>
    <mergeCell ref="AW2:AW3"/>
    <mergeCell ref="G2:H2"/>
  </mergeCells>
  <pageMargins left="0.51180555555555596" right="0.51180555555555596" top="0.55000000000000004" bottom="0.55000000000000004" header="0.31388888888888899" footer="0.31388888888888899"/>
  <pageSetup paperSize="9" scale="8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593C3-E188-4C7C-BA01-3F9EBCA8CC94}">
  <sheetPr>
    <pageSetUpPr fitToPage="1"/>
  </sheetPr>
  <dimension ref="A1:BC44"/>
  <sheetViews>
    <sheetView showGridLines="0" showRowColHeaders="0" zoomScale="90" zoomScaleNormal="90" workbookViewId="0">
      <pane xSplit="23" ySplit="3" topLeftCell="X4" activePane="bottomRight" state="frozen"/>
      <selection activeCell="V1" sqref="V1"/>
      <selection pane="topRight" activeCell="X1" sqref="X1"/>
      <selection pane="bottomLeft" activeCell="V4" sqref="V4"/>
      <selection pane="bottomRight" activeCell="AS2" sqref="AS2"/>
    </sheetView>
  </sheetViews>
  <sheetFormatPr baseColWidth="10" defaultColWidth="0" defaultRowHeight="15" zeroHeight="1"/>
  <cols>
    <col min="1" max="1" width="7" style="24" hidden="1" customWidth="1"/>
    <col min="2" max="2" width="5.7109375" style="24" hidden="1" customWidth="1"/>
    <col min="3" max="3" width="4.42578125" style="24" hidden="1" customWidth="1"/>
    <col min="4" max="4" width="5.5703125" style="24" hidden="1" customWidth="1"/>
    <col min="5" max="5" width="34.7109375" style="24" hidden="1" customWidth="1"/>
    <col min="6" max="6" width="2.85546875" style="24" hidden="1" customWidth="1"/>
    <col min="7" max="7" width="6" style="24" hidden="1" customWidth="1"/>
    <col min="8" max="8" width="11" style="24" hidden="1" customWidth="1"/>
    <col min="9" max="9" width="6" style="24" hidden="1" customWidth="1"/>
    <col min="10" max="10" width="11" style="24" hidden="1" customWidth="1"/>
    <col min="11" max="11" width="3.28515625" style="262" hidden="1" customWidth="1"/>
    <col min="12" max="12" width="34.7109375" style="24" hidden="1" customWidth="1"/>
    <col min="13" max="13" width="4.28515625" style="24" hidden="1" customWidth="1"/>
    <col min="14" max="14" width="9.5703125" style="24" hidden="1" customWidth="1"/>
    <col min="15" max="15" width="6.7109375" style="24" hidden="1" customWidth="1"/>
    <col min="16" max="16" width="9.5703125" style="24" hidden="1" customWidth="1"/>
    <col min="17" max="17" width="6.7109375" style="24" hidden="1" customWidth="1"/>
    <col min="18" max="18" width="5" style="24" hidden="1" customWidth="1"/>
    <col min="19" max="19" width="4.42578125" style="24" hidden="1" customWidth="1"/>
    <col min="20" max="20" width="9.85546875" style="24" hidden="1" customWidth="1"/>
    <col min="21" max="21" width="5.42578125" style="24" hidden="1" customWidth="1"/>
    <col min="22" max="22" width="5.42578125" style="82" customWidth="1"/>
    <col min="23" max="23" width="5.42578125" style="24" customWidth="1"/>
    <col min="24" max="24" width="33" style="24" customWidth="1"/>
    <col min="25" max="26" width="9.85546875" style="24" customWidth="1"/>
    <col min="27" max="27" width="9.7109375" style="24" customWidth="1"/>
    <col min="28" max="28" width="5.85546875" style="24" hidden="1" customWidth="1"/>
    <col min="29" max="29" width="9.85546875" style="24" bestFit="1" customWidth="1"/>
    <col min="30" max="30" width="26" style="24" hidden="1" customWidth="1"/>
    <col min="31" max="31" width="5.7109375" style="24" hidden="1" customWidth="1"/>
    <col min="32" max="32" width="9.5703125" style="24" hidden="1" customWidth="1"/>
    <col min="33" max="33" width="6.7109375" style="24" hidden="1" customWidth="1"/>
    <col min="34" max="34" width="9.5703125" style="24" hidden="1" customWidth="1"/>
    <col min="35" max="35" width="6.7109375" style="24" hidden="1" customWidth="1"/>
    <col min="36" max="36" width="8.5703125" style="24" hidden="1" customWidth="1"/>
    <col min="37" max="37" width="7.85546875" style="24" hidden="1" customWidth="1"/>
    <col min="38" max="38" width="9.85546875" style="83" hidden="1" customWidth="1"/>
    <col min="39" max="39" width="9.7109375" style="24" hidden="1" customWidth="1"/>
    <col min="40" max="40" width="5.5703125" style="82" customWidth="1"/>
    <col min="41" max="41" width="5.140625" style="24" customWidth="1"/>
    <col min="42" max="42" width="39" style="24" customWidth="1"/>
    <col min="43" max="43" width="9.42578125" style="24" customWidth="1"/>
    <col min="44" max="44" width="10" style="24" customWidth="1"/>
    <col min="45" max="45" width="8.85546875" style="24" customWidth="1"/>
    <col min="46" max="46" width="6.140625" style="24" hidden="1" customWidth="1"/>
    <col min="47" max="47" width="10.140625" style="24" customWidth="1"/>
    <col min="48" max="48" width="5.85546875" style="82" customWidth="1"/>
    <col min="49" max="49" width="5.5703125" style="24" customWidth="1"/>
    <col min="50" max="50" width="35.5703125" style="24" customWidth="1"/>
    <col min="51" max="51" width="9.85546875" style="24" customWidth="1"/>
    <col min="52" max="52" width="9.85546875" style="24" bestFit="1" customWidth="1"/>
    <col min="53" max="53" width="9.85546875" style="24" customWidth="1"/>
    <col min="54" max="54" width="9.85546875" style="24" bestFit="1" customWidth="1"/>
    <col min="55" max="55" width="11.42578125" style="24" customWidth="1"/>
    <col min="56" max="16384" width="11.42578125" style="24" hidden="1"/>
  </cols>
  <sheetData>
    <row r="1" spans="1:54" ht="15.75" thickBot="1">
      <c r="AV1" s="595"/>
    </row>
    <row r="2" spans="1:54" ht="15.75" thickBot="1">
      <c r="A2" s="684" t="s">
        <v>123</v>
      </c>
      <c r="B2" s="685" t="s">
        <v>222</v>
      </c>
      <c r="C2" s="20"/>
      <c r="D2" s="20"/>
      <c r="E2" s="20"/>
      <c r="F2" s="20"/>
      <c r="G2" s="680">
        <v>30</v>
      </c>
      <c r="H2" s="681"/>
      <c r="I2" s="680">
        <v>40</v>
      </c>
      <c r="J2" s="681"/>
      <c r="K2" s="263"/>
      <c r="L2" s="20"/>
      <c r="M2" s="20"/>
      <c r="N2" s="20"/>
      <c r="O2" s="20"/>
      <c r="P2" s="20"/>
      <c r="Q2" s="20"/>
      <c r="R2" s="20"/>
      <c r="S2" s="20"/>
      <c r="T2" s="20"/>
      <c r="U2" s="20"/>
      <c r="V2" s="257"/>
      <c r="W2" s="20"/>
      <c r="X2" s="686" t="s">
        <v>220</v>
      </c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300"/>
      <c r="AM2" s="20"/>
      <c r="AN2" s="257"/>
      <c r="AO2" s="20"/>
      <c r="AP2" s="686" t="s">
        <v>219</v>
      </c>
      <c r="AQ2" s="20"/>
      <c r="AR2" s="20"/>
      <c r="AS2" s="20"/>
      <c r="AT2" s="20"/>
      <c r="AU2" s="20"/>
      <c r="AV2" s="596"/>
      <c r="AW2" s="20"/>
      <c r="AX2" s="686" t="s">
        <v>221</v>
      </c>
      <c r="AY2" s="20"/>
      <c r="AZ2" s="20"/>
      <c r="BA2" s="20"/>
      <c r="BB2" s="20"/>
    </row>
    <row r="3" spans="1:54" ht="14.25" customHeight="1" thickBot="1">
      <c r="A3" s="684"/>
      <c r="B3" s="685"/>
      <c r="C3" s="265"/>
      <c r="D3" s="265" t="s">
        <v>115</v>
      </c>
      <c r="E3" s="266" t="s">
        <v>88</v>
      </c>
      <c r="F3" s="267"/>
      <c r="G3" s="268" t="s">
        <v>93</v>
      </c>
      <c r="H3" s="269"/>
      <c r="I3" s="301" t="s">
        <v>93</v>
      </c>
      <c r="J3" s="302"/>
      <c r="K3" s="270"/>
      <c r="L3" s="265" t="s">
        <v>88</v>
      </c>
      <c r="M3" s="265" t="s">
        <v>117</v>
      </c>
      <c r="N3" s="268" t="s">
        <v>121</v>
      </c>
      <c r="O3" s="269"/>
      <c r="P3" s="301" t="s">
        <v>122</v>
      </c>
      <c r="Q3" s="302"/>
      <c r="R3" s="271" t="s">
        <v>123</v>
      </c>
      <c r="S3" s="271" t="s">
        <v>124</v>
      </c>
      <c r="T3" s="303" t="s">
        <v>125</v>
      </c>
      <c r="U3" s="271" t="s">
        <v>119</v>
      </c>
      <c r="V3" s="272"/>
      <c r="W3" s="273"/>
      <c r="X3" s="687"/>
      <c r="Y3" s="106" t="s">
        <v>121</v>
      </c>
      <c r="Z3" s="304" t="s">
        <v>116</v>
      </c>
      <c r="AA3" s="106" t="s">
        <v>122</v>
      </c>
      <c r="AB3" s="305"/>
      <c r="AC3" s="275" t="s">
        <v>116</v>
      </c>
      <c r="AD3" s="265" t="s">
        <v>88</v>
      </c>
      <c r="AE3" s="265" t="s">
        <v>117</v>
      </c>
      <c r="AF3" s="301" t="s">
        <v>121</v>
      </c>
      <c r="AG3" s="301" t="s">
        <v>116</v>
      </c>
      <c r="AH3" s="301" t="s">
        <v>122</v>
      </c>
      <c r="AI3" s="301" t="s">
        <v>116</v>
      </c>
      <c r="AJ3" s="271" t="s">
        <v>123</v>
      </c>
      <c r="AK3" s="271" t="s">
        <v>124</v>
      </c>
      <c r="AL3" s="303" t="s">
        <v>125</v>
      </c>
      <c r="AM3" s="271" t="s">
        <v>119</v>
      </c>
      <c r="AN3" s="272"/>
      <c r="AO3" s="273"/>
      <c r="AP3" s="688"/>
      <c r="AQ3" s="274" t="s">
        <v>121</v>
      </c>
      <c r="AR3" s="275" t="s">
        <v>116</v>
      </c>
      <c r="AS3" s="106" t="s">
        <v>122</v>
      </c>
      <c r="AT3" s="305"/>
      <c r="AU3" s="275" t="s">
        <v>116</v>
      </c>
      <c r="AV3" s="273"/>
      <c r="AW3" s="273"/>
      <c r="AX3" s="688"/>
      <c r="AY3" s="276" t="s">
        <v>121</v>
      </c>
      <c r="AZ3" s="275" t="s">
        <v>116</v>
      </c>
      <c r="BA3" s="306" t="s">
        <v>122</v>
      </c>
      <c r="BB3" s="275" t="s">
        <v>116</v>
      </c>
    </row>
    <row r="4" spans="1:54" s="116" customFormat="1" ht="24" customHeight="1">
      <c r="A4" s="38">
        <f>IF(E4&lt;&gt;"",SUMPRODUCT(--(G4&gt;$G$4:$G$40))+COUNTIF($G$4:G4,G4),"")</f>
        <v>20</v>
      </c>
      <c r="B4" s="38">
        <f>IF(E4&lt;&gt;"",SUMPRODUCT(--(I4&gt;$I$4:$I$40))+COUNTIF($I$4:I4,I4),"")</f>
        <v>20</v>
      </c>
      <c r="C4" s="38">
        <f>IF(E4&lt;&gt;"",IF(COUNT(A4,B4)=2,3*A4+B4,100),"")</f>
        <v>80</v>
      </c>
      <c r="D4" s="38">
        <f>IF(E4&lt;&gt;"",COUNTIFS(A:A,"&lt;"&amp;A4)+COUNTIF($A$4:A4,A4),"")</f>
        <v>20</v>
      </c>
      <c r="E4" s="278" t="str">
        <f>IF(Liste!B3&lt;&gt;"",Liste!B3,"")</f>
        <v>A</v>
      </c>
      <c r="F4" s="279" t="str">
        <f>IF(Liste!C3&lt;&gt;"",Liste!C3,"")</f>
        <v>F</v>
      </c>
      <c r="G4" s="280">
        <f>IF(E4&lt;&gt;"",IF(Perf.Sprint!$AK4&lt;&gt;"",Perf.Sprint!$AK4,100),"")</f>
        <v>100</v>
      </c>
      <c r="H4" s="281">
        <f>IF(F4&lt;&gt;"",IF(Perf.Sprint!$AM4&lt;&gt;"",Perf.Sprint!$AM4,100),"")</f>
        <v>100</v>
      </c>
      <c r="I4" s="280">
        <f>IF(E4&lt;&gt;"",IF(Perf.Sprint!$AX4&lt;&gt;"",Perf.Sprint!$AX4,100),"")</f>
        <v>100</v>
      </c>
      <c r="J4" s="281">
        <f>IF(H4&lt;&gt;"",IF(Perf.Sprint!$AZ4&lt;&gt;"",Perf.Sprint!$AZ4,100),"")</f>
        <v>100</v>
      </c>
      <c r="K4" s="263">
        <v>1</v>
      </c>
      <c r="L4" s="20" t="str">
        <f t="array" ref="L4">IF(ROWS($2:2)&lt;=COUNTIF($F$4:$F$40,"F"),INDEX($E$4:$E$40,SMALL(IF($F$4:$F$40="F",MATCH($E$4:$E$40,$E$4:$E$40,0)),ROWS($2:2))),"")</f>
        <v>A</v>
      </c>
      <c r="M4" s="38" t="str">
        <f t="shared" ref="M4:M37" si="0">INDEX($F$4:$F$40,MATCH($L4,$E$4:$E$40,0))</f>
        <v>F</v>
      </c>
      <c r="N4" s="38">
        <f t="shared" ref="N4:N37" si="1">INDEX($G$4:$G$40,MATCH($L4,$E$4:$E$40,0))</f>
        <v>100</v>
      </c>
      <c r="O4" s="38">
        <f>INDEX($H$4:$H$40,MATCH($L4,$E$4:$E$40,0))</f>
        <v>100</v>
      </c>
      <c r="P4" s="38">
        <f t="shared" ref="P4:P37" si="2">INDEX($I$4:$I$40,MATCH($L4,$E$4:$E$40,0))</f>
        <v>100</v>
      </c>
      <c r="Q4" s="38">
        <f>INDEX($J$4:$J$40,MATCH($L4,$E$4:$E$40,0))</f>
        <v>100</v>
      </c>
      <c r="R4" s="38">
        <f>IF(L4&lt;&gt;"",SUMPRODUCT(--(N4&gt;$N$4:$N$40))+COUNTIF($N$4:N4,N4),"")</f>
        <v>11</v>
      </c>
      <c r="S4" s="38">
        <f>IF(L4&lt;&gt;"",SUMPRODUCT(--(P4&gt;$P$4:$P$40))+COUNTIF($P$4:P4,P4),"")</f>
        <v>11</v>
      </c>
      <c r="T4" s="307">
        <f>IF(L4&lt;&gt;"",IF(COUNT(R4,S4)=2,R4+S4,100),"")</f>
        <v>22</v>
      </c>
      <c r="U4" s="38">
        <f>IF(T4&lt;&gt;"",SUMPRODUCT(--(T4&gt;$T$4:$T$40))+COUNTIF(T$4:$T4,T4),"")</f>
        <v>11</v>
      </c>
      <c r="V4" s="282"/>
      <c r="W4" s="526">
        <f>IFERROR(SMALL($U$4:$U$40,$K4),"")</f>
        <v>1</v>
      </c>
      <c r="X4" s="283" t="str">
        <f>INDEX($L$4:$L$40,MATCH($W$4:$W$40,$R$4:$R$40,0))</f>
        <v>Q</v>
      </c>
      <c r="Y4" s="284">
        <f t="shared" ref="Y4:Y40" si="3">IF(INDEX($N$4:$N$40,MATCH($X4,$L$4:$L$40,0))="100","",INDEX($N$4:$N$40,MATCH($X4,$L$4:$L$40,0)))</f>
        <v>5.4</v>
      </c>
      <c r="Z4" s="285">
        <f t="shared" ref="Z4:Z40" si="4">IF(Y4=100,"",INDEX($O$4:$O$40,MATCH($X4,$L$4:$L$40,0)))</f>
        <v>20.16</v>
      </c>
      <c r="AA4" s="308">
        <f t="shared" ref="AA4:AA37" si="5">IF(INDEX($P$4:$P$40,MATCH($X4,$L$4:$L$40,0))="100","",INDEX($P$4:$P$40,MATCH($X4,$L$4:$L$40,0)))</f>
        <v>6.9</v>
      </c>
      <c r="AB4" s="309">
        <f>IFERROR(AC4-Z4,"")</f>
        <v>0.71999999999999886</v>
      </c>
      <c r="AC4" s="285">
        <f t="shared" ref="AC4:AC18" si="6">IF(AA4=100,"",INDEX($Q$4:$Q$40,MATCH($X4,$L$4:$L$40,0)))</f>
        <v>20.88</v>
      </c>
      <c r="AD4" s="20" t="str">
        <f t="array" ref="AD4">IF(ROWS($2:2)&lt;=COUNTIF($F$4:$F$40,"M"),INDEX($E$4:$E$40,SMALL(IF($F$4:$F$40="M",MATCH($E$4:$E$40,$E$4:$E$40,0)),ROWS($2:2))),"")</f>
        <v>B</v>
      </c>
      <c r="AE4" s="38" t="str">
        <f t="shared" ref="AE4:AE21" si="7">INDEX($F$4:$F$40,MATCH($AD4,$E$4:$E$40,0))</f>
        <v>M</v>
      </c>
      <c r="AF4" s="38">
        <f t="shared" ref="AF4:AF37" si="8">INDEX($G$4:$G$40,MATCH($AD4,$E$4:$E$40,0))</f>
        <v>5.6</v>
      </c>
      <c r="AG4" s="38">
        <f>INDEX($H$4:$H$40,MATCH($AD4,$E$4:$E$40,0))</f>
        <v>19.440000000000001</v>
      </c>
      <c r="AH4" s="38">
        <f t="shared" ref="AH4:AH37" si="9">INDEX($I$4:$I$40,MATCH($AD4,$E$4:$E$40,0))</f>
        <v>7.6</v>
      </c>
      <c r="AI4" s="38">
        <f>INDEX($J$4:$J$40,MATCH($AD4,$E$4:$E$40,0))</f>
        <v>19.079999999999998</v>
      </c>
      <c r="AJ4" s="38">
        <f>IF(AD4&lt;&gt;"",SUMPRODUCT(--(AF4&gt;$AF$4:$AF$40))+COUNTIF($AF$4:AF4,AF4),"")</f>
        <v>7</v>
      </c>
      <c r="AK4" s="38">
        <f>IF(AD4&lt;&gt;"",SUMPRODUCT(--(AH4&gt;$AH$4:$AH$40))+COUNTIF($AH$4:AH4,AH4),"")</f>
        <v>8</v>
      </c>
      <c r="AL4" s="307">
        <f>IF(AD4&lt;&gt;"",IF(COUNT(AJ4,AK4)=2,AJ4+AK4,"-"),"")</f>
        <v>15</v>
      </c>
      <c r="AM4" s="38">
        <f>IF(AD4&lt;&gt;"",COUNTIFS(AJ:AJ,"&lt;"&amp;AJ4)+COUNTIF($AJ$4:AJ4,AJ4),"")</f>
        <v>7</v>
      </c>
      <c r="AN4" s="282"/>
      <c r="AO4" s="526">
        <f t="shared" ref="AO4:AO37" si="10">IFERROR(SMALL($AJ$4:$AJ$40,$K4),"")</f>
        <v>1</v>
      </c>
      <c r="AP4" s="286" t="str">
        <f>INDEX($AD$4:$AD$40,MATCH($AO$4:$AO$40,$AJ$4:$AJ$40,0))</f>
        <v>D</v>
      </c>
      <c r="AQ4" s="284">
        <f t="shared" ref="AQ4:AQ40" si="11">IF(INDEX($AF$4:$AF$40,MATCH($AP4,$AD$4:$AD$40,0))="100","",INDEX($AF$4:$AF$40,MATCH($AP4,$AD$4:$AD$40,0)))</f>
        <v>4.8</v>
      </c>
      <c r="AR4" s="285">
        <f t="shared" ref="AR4:AR17" si="12">IF(AQ4=100,"",INDEX($AG$4:$AG$40,MATCH($AP4,$AD$4:$AD$40,0)))</f>
        <v>22.68</v>
      </c>
      <c r="AS4" s="308">
        <f t="shared" ref="AS4:AS40" si="13">IF(INDEX($AH$4:$AH$40,MATCH($AP4,$AD$4:$AD$40,0))="100","",INDEX($AH$4:$AH$40,MATCH($AP4,$AD$4:$AD$40,0)))</f>
        <v>6.1</v>
      </c>
      <c r="AT4" s="309">
        <f>IFERROR(AU4-AR4,"")</f>
        <v>1.0800000000000018</v>
      </c>
      <c r="AU4" s="285">
        <f>IF(AS4=100,"",INDEX($AI$4:$AI$40,MATCH($AP4,$AD$4:$AD$40,0)))</f>
        <v>23.76</v>
      </c>
      <c r="AV4" s="597"/>
      <c r="AW4" s="526">
        <f>IFERROR(SMALL($D$4:$D$40,$K4),"")</f>
        <v>1</v>
      </c>
      <c r="AX4" s="291" t="str">
        <f>INDEX($E$4:$E$40,MATCH($AW$4:$AW$40,$A$4:$A$40,0))</f>
        <v>D</v>
      </c>
      <c r="AY4" s="287">
        <f>IF(INDEX($G$4:$G$40,MATCH($AX4,$E$4:$E$40,0))="100","",INDEX($G$4:$G$40,MATCH($AX4,$E$4:$E$40,0)))</f>
        <v>4.8</v>
      </c>
      <c r="AZ4" s="310">
        <f t="shared" ref="AZ4:AZ40" si="14">IF(AY4=100,"",INDEX($H$4:$H$40,MATCH($AX4,$E$4:$E$40,0)))</f>
        <v>22.68</v>
      </c>
      <c r="BA4" s="311">
        <f>IF(INDEX($I$4:$I$40,MATCH($AX4,$E$4:$E$40,0))="100","",INDEX($I$4:$I$40,MATCH($AX4,$E$4:$E$40,0)))</f>
        <v>6.1</v>
      </c>
      <c r="BB4" s="312">
        <f t="shared" ref="BB4:BB33" si="15">IF(BA4=100,"",INDEX($J$4:$J$40,MATCH($AX4,$E$4:$E$40,0)))</f>
        <v>23.76</v>
      </c>
    </row>
    <row r="5" spans="1:54" ht="24" customHeight="1">
      <c r="A5" s="38">
        <f>IF(E5&lt;&gt;"",SUMPRODUCT(--(G5&gt;$G$4:$G$40))+COUNTIF($G$4:G5,G5),"")</f>
        <v>9</v>
      </c>
      <c r="B5" s="38">
        <f>IF(E5&lt;&gt;"",SUMPRODUCT(--(I5&gt;$I$4:$I$40))+COUNTIF($I$4:I5,I5),"")</f>
        <v>13</v>
      </c>
      <c r="C5" s="38">
        <f t="shared" ref="C5:C40" si="16">IF(E5&lt;&gt;"",IF(COUNT(A5,B5)=2,3*A5+B5,100),"")</f>
        <v>40</v>
      </c>
      <c r="D5" s="38">
        <f>IF(E5&lt;&gt;"",COUNTIFS(A:A,"&lt;"&amp;A5)+COUNTIF($A$4:A5,A5),"")</f>
        <v>9</v>
      </c>
      <c r="E5" s="278" t="str">
        <f>IF(Liste!B4&lt;&gt;"",Liste!B4,"")</f>
        <v>B</v>
      </c>
      <c r="F5" s="279" t="str">
        <f>IF(Liste!C4&lt;&gt;"",Liste!C4,"")</f>
        <v>M</v>
      </c>
      <c r="G5" s="280">
        <f>IF(E5&lt;&gt;"",IF(Perf.Sprint!$AK5&lt;&gt;"",Perf.Sprint!$AK5,100),"")</f>
        <v>5.6</v>
      </c>
      <c r="H5" s="281">
        <f>IF(F5&lt;&gt;"",IF(Perf.Sprint!$AM5&lt;&gt;"",Perf.Sprint!$AM5,100),"")</f>
        <v>19.440000000000001</v>
      </c>
      <c r="I5" s="280">
        <f>IF(E5&lt;&gt;"",IF(Perf.Sprint!$AX5&lt;&gt;"",Perf.Sprint!$AX5,100),"")</f>
        <v>7.6</v>
      </c>
      <c r="J5" s="281">
        <f>IF(H5&lt;&gt;"",IF(Perf.Sprint!$AZ5&lt;&gt;"",Perf.Sprint!$AZ5,100),"")</f>
        <v>19.079999999999998</v>
      </c>
      <c r="K5" s="263">
        <v>2</v>
      </c>
      <c r="L5" s="20" t="str">
        <f t="array" ref="L5">IF(ROWS($2:3)&lt;=COUNTIF($F$4:$F$40,"F"),INDEX($E$4:$E$40,SMALL(IF($F$4:$F$40="F",MATCH($E$4:$E$40,$E$4:$E$40,0)),ROWS($2:3))),"")</f>
        <v>F</v>
      </c>
      <c r="M5" s="38" t="str">
        <f t="shared" si="0"/>
        <v>F</v>
      </c>
      <c r="N5" s="38">
        <f t="shared" si="1"/>
        <v>6.1</v>
      </c>
      <c r="O5" s="38">
        <f t="shared" ref="O5:O40" si="17">INDEX($H$4:$H$40,MATCH($L5,$E$4:$E$40,0))</f>
        <v>17.64</v>
      </c>
      <c r="P5" s="38">
        <f t="shared" si="2"/>
        <v>7.8</v>
      </c>
      <c r="Q5" s="38">
        <f t="shared" ref="Q5:Q40" si="18">INDEX($J$4:$J$40,MATCH($L5,$E$4:$E$40,0))</f>
        <v>18.36</v>
      </c>
      <c r="R5" s="38">
        <f>IF(L5&lt;&gt;"",SUMPRODUCT(--(N5&gt;$N$4:$N$40))+COUNTIF($N$4:N5,N5),"")</f>
        <v>8</v>
      </c>
      <c r="S5" s="38">
        <f>IF(L5&lt;&gt;"",SUMPRODUCT(--(P5&gt;$P$4:$P$40))+COUNTIF($P$4:P5,P5),"")</f>
        <v>8</v>
      </c>
      <c r="T5" s="307">
        <f t="shared" ref="T5:T40" si="19">IF(L5&lt;&gt;"",IF(COUNT(R5,S5)=2,R5+S5,100),"")</f>
        <v>16</v>
      </c>
      <c r="U5" s="38">
        <f>IF(T5&lt;&gt;"",SUMPRODUCT(--(T5&gt;$T$4:$T$40))+COUNTIF(T$4:$T5,T5),"")</f>
        <v>8</v>
      </c>
      <c r="V5" s="282"/>
      <c r="W5" s="527">
        <f t="shared" ref="W5:W40" si="20">IFERROR(SMALL($U$4:$U$40,$K5),"")</f>
        <v>2</v>
      </c>
      <c r="X5" s="288" t="str">
        <f>INDEX($L$4:$L$40,MATCH($W$4:$W$40,$R$4:$R$40,0))</f>
        <v>R</v>
      </c>
      <c r="Y5" s="289">
        <f t="shared" si="3"/>
        <v>5.4</v>
      </c>
      <c r="Z5" s="290">
        <f t="shared" si="4"/>
        <v>20.16</v>
      </c>
      <c r="AA5" s="313">
        <f t="shared" si="5"/>
        <v>6.9</v>
      </c>
      <c r="AB5" s="309">
        <f t="shared" ref="AB5:AB40" si="21">IFERROR(AC5-Z5,"")</f>
        <v>0.71999999999999886</v>
      </c>
      <c r="AC5" s="290">
        <f t="shared" si="6"/>
        <v>20.88</v>
      </c>
      <c r="AD5" s="20" t="str">
        <f t="array" ref="AD5">IF(ROWS($2:3)&lt;=COUNTIF($F$4:$F$40,"M"),INDEX($E$4:$E$40,SMALL(IF($F$4:$F$40="M",MATCH($E$4:$E$40,$E$4:$E$40,0)),ROWS($2:3))),"")</f>
        <v>C</v>
      </c>
      <c r="AE5" s="38" t="str">
        <f t="shared" si="7"/>
        <v>M</v>
      </c>
      <c r="AF5" s="38">
        <f t="shared" si="8"/>
        <v>4.9000000000000004</v>
      </c>
      <c r="AG5" s="38">
        <f t="shared" ref="AG5:AG40" si="22">INDEX($H$4:$H$40,MATCH($AD5,$E$4:$E$40,0))</f>
        <v>21.96</v>
      </c>
      <c r="AH5" s="38">
        <f t="shared" si="9"/>
        <v>6.1</v>
      </c>
      <c r="AI5" s="38">
        <f t="shared" ref="AI5:AI40" si="23">INDEX($J$4:$J$40,MATCH($AD5,$E$4:$E$40,0))</f>
        <v>23.76</v>
      </c>
      <c r="AJ5" s="38">
        <f>IF(AD5&lt;&gt;"",SUMPRODUCT(--(AF5&gt;$AF$4:$AF$40))+COUNTIF($AF$4:AF5,AF5),"")</f>
        <v>3</v>
      </c>
      <c r="AK5" s="38">
        <f>IF(AD5&lt;&gt;"",SUMPRODUCT(--(AH5&gt;$AH$4:$AH$40))+COUNTIF($AH$4:AH5,AH5),"")</f>
        <v>1</v>
      </c>
      <c r="AL5" s="307">
        <f t="shared" ref="AL5:AL40" si="24">IF(AD5&lt;&gt;"",IF(COUNT(AJ5,AK5)=2,AJ5+AK5,"-"),"")</f>
        <v>4</v>
      </c>
      <c r="AM5" s="38">
        <f>IF(AD5&lt;&gt;"",COUNTIFS(AJ:AJ,"&lt;"&amp;AJ5)+COUNTIF($AJ$4:AJ5,AJ5),"")</f>
        <v>3</v>
      </c>
      <c r="AN5" s="282"/>
      <c r="AO5" s="527">
        <f t="shared" si="10"/>
        <v>2</v>
      </c>
      <c r="AP5" s="288" t="str">
        <f>INDEX($AD$4:$AD$40,MATCH($AO$4:$AO$40,$AJ$4:$AJ$40,0))</f>
        <v>K</v>
      </c>
      <c r="AQ5" s="289">
        <f t="shared" si="11"/>
        <v>4.8</v>
      </c>
      <c r="AR5" s="314">
        <f t="shared" si="12"/>
        <v>22.68</v>
      </c>
      <c r="AS5" s="313">
        <f t="shared" si="13"/>
        <v>6.1</v>
      </c>
      <c r="AT5" s="309">
        <f>IFERROR(AU5-AR5,"")</f>
        <v>1.0800000000000018</v>
      </c>
      <c r="AU5" s="314">
        <f>IF(AS5=100,"",INDEX($AI$4:$AI$40,MATCH($AP5,$AD$4:$AD$40,0)))</f>
        <v>23.76</v>
      </c>
      <c r="AV5" s="597"/>
      <c r="AW5" s="527">
        <f>IFERROR(SMALL($D$4:$D$40,$K5),"")</f>
        <v>2</v>
      </c>
      <c r="AX5" s="288" t="str">
        <f>INDEX($E$4:$E$40,MATCH($AW$4:$AW$40,$A$4:$A$40,0))</f>
        <v>K</v>
      </c>
      <c r="AY5" s="289">
        <f t="shared" ref="AY5:AY40" si="25">IF(INDEX($G$4:$G$40,MATCH($AX5,$E$4:$E$40,0))="100","",INDEX($G$4:$G$40,MATCH($AX5,$E$4:$E$40,0)))</f>
        <v>4.8</v>
      </c>
      <c r="AZ5" s="315">
        <f t="shared" si="14"/>
        <v>22.68</v>
      </c>
      <c r="BA5" s="313">
        <f t="shared" ref="BA5:BA40" si="26">IF(INDEX($I$4:$I$40,MATCH($AX5,$E$4:$E$40,0))="100","",INDEX($I$4:$I$40,MATCH($AX5,$E$4:$E$40,0)))</f>
        <v>6.1</v>
      </c>
      <c r="BB5" s="290">
        <f t="shared" si="15"/>
        <v>23.76</v>
      </c>
    </row>
    <row r="6" spans="1:54" ht="24" customHeight="1">
      <c r="A6" s="38">
        <f>IF(E6&lt;&gt;"",SUMPRODUCT(--(G6&gt;$G$4:$G$40))+COUNTIF($G$4:G6,G6),"")</f>
        <v>3</v>
      </c>
      <c r="B6" s="38">
        <f>IF(E6&lt;&gt;"",SUMPRODUCT(--(I6&gt;$I$4:$I$40))+COUNTIF($I$4:I6,I6),"")</f>
        <v>1</v>
      </c>
      <c r="C6" s="38">
        <f t="shared" si="16"/>
        <v>10</v>
      </c>
      <c r="D6" s="38">
        <f>IF(E6&lt;&gt;"",COUNTIFS(A:A,"&lt;"&amp;A6)+COUNTIF($A$4:A6,A6),"")</f>
        <v>3</v>
      </c>
      <c r="E6" s="278" t="str">
        <f>IF(Liste!B5&lt;&gt;"",Liste!B5,"")</f>
        <v>C</v>
      </c>
      <c r="F6" s="279" t="str">
        <f>IF(Liste!C5&lt;&gt;"",Liste!C5,"")</f>
        <v>M</v>
      </c>
      <c r="G6" s="280">
        <f>IF(E6&lt;&gt;"",IF(Perf.Sprint!$AK6&lt;&gt;"",Perf.Sprint!$AK6,100),"")</f>
        <v>4.9000000000000004</v>
      </c>
      <c r="H6" s="281">
        <f>IF(F6&lt;&gt;"",IF(Perf.Sprint!$AM6&lt;&gt;"",Perf.Sprint!$AM6,100),"")</f>
        <v>21.96</v>
      </c>
      <c r="I6" s="280">
        <f>IF(E6&lt;&gt;"",IF(Perf.Sprint!$AX6&lt;&gt;"",Perf.Sprint!$AX6,100),"")</f>
        <v>6.1</v>
      </c>
      <c r="J6" s="281">
        <f>IF(H6&lt;&gt;"",IF(Perf.Sprint!$AZ6&lt;&gt;"",Perf.Sprint!$AZ6,100),"")</f>
        <v>23.76</v>
      </c>
      <c r="K6" s="263">
        <v>3</v>
      </c>
      <c r="L6" s="20" t="str">
        <f t="array" ref="L6">IF(ROWS($2:4)&lt;=COUNTIF($F$4:$F$40,"F"),INDEX($E$4:$E$40,SMALL(IF($F$4:$F$40="F",MATCH($E$4:$E$40,$E$4:$E$40,0)),ROWS($2:4))),"")</f>
        <v>H</v>
      </c>
      <c r="M6" s="38" t="str">
        <f t="shared" si="0"/>
        <v>F</v>
      </c>
      <c r="N6" s="38">
        <f t="shared" si="1"/>
        <v>5.7</v>
      </c>
      <c r="O6" s="38">
        <f t="shared" si="17"/>
        <v>19.079999999999998</v>
      </c>
      <c r="P6" s="38">
        <f t="shared" si="2"/>
        <v>7.4</v>
      </c>
      <c r="Q6" s="38">
        <f t="shared" si="18"/>
        <v>19.440000000000001</v>
      </c>
      <c r="R6" s="38">
        <f>IF(L6&lt;&gt;"",SUMPRODUCT(--(N6&gt;$N$4:$N$40))+COUNTIF($N$4:N6,N6),"")</f>
        <v>3</v>
      </c>
      <c r="S6" s="38">
        <f>IF(L6&lt;&gt;"",SUMPRODUCT(--(P6&gt;$P$4:$P$40))+COUNTIF($P$4:P6,P6),"")</f>
        <v>5</v>
      </c>
      <c r="T6" s="307">
        <f t="shared" si="19"/>
        <v>8</v>
      </c>
      <c r="U6" s="38">
        <f>IF(T6&lt;&gt;"",SUMPRODUCT(--(T6&gt;$T$4:$T$40))+COUNTIF(T$4:$T6,T6),"")</f>
        <v>4</v>
      </c>
      <c r="V6" s="282"/>
      <c r="W6" s="527">
        <f t="shared" si="20"/>
        <v>3</v>
      </c>
      <c r="X6" s="291" t="str">
        <f>INDEX($L$4:$L$40,MATCH($W$4:$W$40,$R$4:$R$40,0))</f>
        <v>H</v>
      </c>
      <c r="Y6" s="292">
        <f t="shared" si="3"/>
        <v>5.7</v>
      </c>
      <c r="Z6" s="285">
        <f t="shared" si="4"/>
        <v>19.079999999999998</v>
      </c>
      <c r="AA6" s="316">
        <f t="shared" si="5"/>
        <v>7.4</v>
      </c>
      <c r="AB6" s="309">
        <f t="shared" si="21"/>
        <v>0.36000000000000298</v>
      </c>
      <c r="AC6" s="285">
        <f t="shared" si="6"/>
        <v>19.440000000000001</v>
      </c>
      <c r="AD6" s="20" t="str">
        <f t="array" ref="AD6">IF(ROWS($2:4)&lt;=COUNTIF($F$4:$F$40,"M"),INDEX($E$4:$E$40,SMALL(IF($F$4:$F$40="M",MATCH($E$4:$E$40,$E$4:$E$40,0)),ROWS($2:4))),"")</f>
        <v>D</v>
      </c>
      <c r="AE6" s="38" t="str">
        <f t="shared" si="7"/>
        <v>M</v>
      </c>
      <c r="AF6" s="38">
        <f t="shared" si="8"/>
        <v>4.8</v>
      </c>
      <c r="AG6" s="38">
        <f t="shared" si="22"/>
        <v>22.68</v>
      </c>
      <c r="AH6" s="38">
        <f t="shared" si="9"/>
        <v>6.1</v>
      </c>
      <c r="AI6" s="38">
        <f t="shared" si="23"/>
        <v>23.76</v>
      </c>
      <c r="AJ6" s="38">
        <f>IF(AD6&lt;&gt;"",SUMPRODUCT(--(AF6&gt;$AF$4:$AF$40))+COUNTIF($AF$4:AF6,AF6),"")</f>
        <v>1</v>
      </c>
      <c r="AK6" s="38">
        <f>IF(AD6&lt;&gt;"",SUMPRODUCT(--(AH6&gt;$AH$4:$AH$40))+COUNTIF($AH$4:AH6,AH6),"")</f>
        <v>2</v>
      </c>
      <c r="AL6" s="307">
        <f t="shared" si="24"/>
        <v>3</v>
      </c>
      <c r="AM6" s="38">
        <f>IF(AD6&lt;&gt;"",COUNTIFS(AJ:AJ,"&lt;"&amp;AJ6)+COUNTIF($AJ$4:AJ6,AJ6),"")</f>
        <v>1</v>
      </c>
      <c r="AN6" s="282"/>
      <c r="AO6" s="527">
        <f t="shared" si="10"/>
        <v>3</v>
      </c>
      <c r="AP6" s="291" t="str">
        <f>INDEX($AD$4:$AD$40,MATCH($AO$4:$AO$40,$AJ$4:$AJ$40,0))</f>
        <v>C</v>
      </c>
      <c r="AQ6" s="292">
        <f t="shared" si="11"/>
        <v>4.9000000000000004</v>
      </c>
      <c r="AR6" s="285">
        <f t="shared" si="12"/>
        <v>21.96</v>
      </c>
      <c r="AS6" s="316">
        <f t="shared" si="13"/>
        <v>6.1</v>
      </c>
      <c r="AT6" s="309">
        <f>IFERROR(AU6-AR6,"")</f>
        <v>1.8000000000000007</v>
      </c>
      <c r="AU6" s="285">
        <f t="shared" ref="AU6:AU40" si="27">IF(AS6=100,"",INDEX($AI$4:$AI$40,MATCH($AP6,$AD$4:$AD$40,0)))</f>
        <v>23.76</v>
      </c>
      <c r="AV6" s="597"/>
      <c r="AW6" s="527">
        <f t="shared" ref="AW6:AW40" si="28">IFERROR(SMALL($D$4:$D$40,$K6),"")</f>
        <v>3</v>
      </c>
      <c r="AX6" s="291" t="str">
        <f t="shared" ref="AX6:AX40" si="29">INDEX($E$4:$E$40,MATCH($AW$4:$AW$40,$A$4:$A$40,0))</f>
        <v>C</v>
      </c>
      <c r="AY6" s="292">
        <f t="shared" si="25"/>
        <v>4.9000000000000004</v>
      </c>
      <c r="AZ6" s="317">
        <f t="shared" si="14"/>
        <v>21.96</v>
      </c>
      <c r="BA6" s="316">
        <f t="shared" si="26"/>
        <v>6.1</v>
      </c>
      <c r="BB6" s="285">
        <f t="shared" si="15"/>
        <v>23.76</v>
      </c>
    </row>
    <row r="7" spans="1:54" ht="24" customHeight="1">
      <c r="A7" s="38">
        <f>IF(E7&lt;&gt;"",SUMPRODUCT(--(G7&gt;$G$4:$G$40))+COUNTIF($G$4:G7,G7),"")</f>
        <v>1</v>
      </c>
      <c r="B7" s="38">
        <f>IF(E7&lt;&gt;"",SUMPRODUCT(--(I7&gt;$I$4:$I$40))+COUNTIF($I$4:I7,I7),"")</f>
        <v>2</v>
      </c>
      <c r="C7" s="38">
        <f t="shared" si="16"/>
        <v>5</v>
      </c>
      <c r="D7" s="38">
        <f>IF(E7&lt;&gt;"",COUNTIFS(A:A,"&lt;"&amp;A7)+COUNTIF($A$4:A7,A7),"")</f>
        <v>1</v>
      </c>
      <c r="E7" s="278" t="str">
        <f>IF(Liste!B6&lt;&gt;"",Liste!B6,"")</f>
        <v>D</v>
      </c>
      <c r="F7" s="279" t="str">
        <f>IF(Liste!C6&lt;&gt;"",Liste!C6,"")</f>
        <v>M</v>
      </c>
      <c r="G7" s="280">
        <f>IF(E7&lt;&gt;"",IF(Perf.Sprint!$AK7&lt;&gt;"",Perf.Sprint!$AK7,100),"")</f>
        <v>4.8</v>
      </c>
      <c r="H7" s="281">
        <f>IF(F7&lt;&gt;"",IF(Perf.Sprint!$AM7&lt;&gt;"",Perf.Sprint!$AM7,100),"")</f>
        <v>22.68</v>
      </c>
      <c r="I7" s="280">
        <f>IF(E7&lt;&gt;"",IF(Perf.Sprint!$AX7&lt;&gt;"",Perf.Sprint!$AX7,100),"")</f>
        <v>6.1</v>
      </c>
      <c r="J7" s="281">
        <f>IF(H7&lt;&gt;"",IF(Perf.Sprint!$AZ7&lt;&gt;"",Perf.Sprint!$AZ7,100),"")</f>
        <v>23.76</v>
      </c>
      <c r="K7" s="263">
        <v>4</v>
      </c>
      <c r="L7" s="20" t="str">
        <f t="array" ref="L7">IF(ROWS($2:5)&lt;=COUNTIF($F$4:$F$40,"F"),INDEX($E$4:$E$40,SMALL(IF($F$4:$F$40="F",MATCH($E$4:$E$40,$E$4:$E$40,0)),ROWS($2:5))),"")</f>
        <v>M</v>
      </c>
      <c r="M7" s="38" t="str">
        <f t="shared" si="0"/>
        <v>F</v>
      </c>
      <c r="N7" s="38">
        <f t="shared" si="1"/>
        <v>5.7</v>
      </c>
      <c r="O7" s="38">
        <f t="shared" si="17"/>
        <v>19.079999999999998</v>
      </c>
      <c r="P7" s="38">
        <f t="shared" si="2"/>
        <v>7.3</v>
      </c>
      <c r="Q7" s="38">
        <f t="shared" si="18"/>
        <v>19.8</v>
      </c>
      <c r="R7" s="38">
        <f>IF(L7&lt;&gt;"",SUMPRODUCT(--(N7&gt;$N$4:$N$40))+COUNTIF($N$4:N7,N7),"")</f>
        <v>4</v>
      </c>
      <c r="S7" s="38">
        <f>IF(L7&lt;&gt;"",SUMPRODUCT(--(P7&gt;$P$4:$P$40))+COUNTIF($P$4:P7,P7),"")</f>
        <v>3</v>
      </c>
      <c r="T7" s="307">
        <f t="shared" si="19"/>
        <v>7</v>
      </c>
      <c r="U7" s="38">
        <f>IF(T7&lt;&gt;"",SUMPRODUCT(--(T7&gt;$T$4:$T$40))+COUNTIF(T$4:$T7,T7),"")</f>
        <v>3</v>
      </c>
      <c r="V7" s="282"/>
      <c r="W7" s="527">
        <f t="shared" si="20"/>
        <v>4</v>
      </c>
      <c r="X7" s="288" t="str">
        <f>INDEX($L$4:$L$40,MATCH($W$4:$W$40,$R$4:$R$40,0))</f>
        <v>M</v>
      </c>
      <c r="Y7" s="289">
        <f t="shared" si="3"/>
        <v>5.7</v>
      </c>
      <c r="Z7" s="290">
        <f t="shared" si="4"/>
        <v>19.079999999999998</v>
      </c>
      <c r="AA7" s="313">
        <f t="shared" si="5"/>
        <v>7.3</v>
      </c>
      <c r="AB7" s="309">
        <f t="shared" si="21"/>
        <v>0.72000000000000242</v>
      </c>
      <c r="AC7" s="290">
        <f t="shared" si="6"/>
        <v>19.8</v>
      </c>
      <c r="AD7" s="20" t="str">
        <f t="array" ref="AD7">IF(ROWS($2:5)&lt;=COUNTIF($F$4:$F$40,"M"),INDEX($E$4:$E$40,SMALL(IF($F$4:$F$40="M",MATCH($E$4:$E$40,$E$4:$E$40,0)),ROWS($2:5))),"")</f>
        <v>E</v>
      </c>
      <c r="AE7" s="38" t="str">
        <f t="shared" si="7"/>
        <v>M</v>
      </c>
      <c r="AF7" s="38">
        <f t="shared" si="8"/>
        <v>5.8</v>
      </c>
      <c r="AG7" s="38">
        <f t="shared" si="22"/>
        <v>18.72</v>
      </c>
      <c r="AH7" s="38">
        <f t="shared" si="9"/>
        <v>7.6</v>
      </c>
      <c r="AI7" s="38">
        <f t="shared" si="23"/>
        <v>19.079999999999998</v>
      </c>
      <c r="AJ7" s="38">
        <f>IF(AD7&lt;&gt;"",SUMPRODUCT(--(AF7&gt;$AF$4:$AF$40))+COUNTIF($AF$4:AF7,AF7),"")</f>
        <v>8</v>
      </c>
      <c r="AK7" s="38">
        <f>IF(AD7&lt;&gt;"",SUMPRODUCT(--(AH7&gt;$AH$4:$AH$40))+COUNTIF($AH$4:AH7,AH7),"")</f>
        <v>9</v>
      </c>
      <c r="AL7" s="307">
        <f t="shared" si="24"/>
        <v>17</v>
      </c>
      <c r="AM7" s="38">
        <f>IF(AD7&lt;&gt;"",COUNTIFS(AJ:AJ,"&lt;"&amp;AJ7)+COUNTIF($AJ$4:AJ7,AJ7),"")</f>
        <v>8</v>
      </c>
      <c r="AN7" s="282"/>
      <c r="AO7" s="527">
        <f t="shared" si="10"/>
        <v>4</v>
      </c>
      <c r="AP7" s="288" t="str">
        <f>INDEX($AD$4:$AD$40,MATCH($AO$4:$AO$40,$AJ$4:$AJ$40,0))</f>
        <v>N</v>
      </c>
      <c r="AQ7" s="289">
        <f t="shared" si="11"/>
        <v>4.9000000000000004</v>
      </c>
      <c r="AR7" s="314">
        <f t="shared" si="12"/>
        <v>21.96</v>
      </c>
      <c r="AS7" s="313">
        <f t="shared" si="13"/>
        <v>6.2</v>
      </c>
      <c r="AT7" s="309">
        <f t="shared" ref="AT7:AT40" si="30">IFERROR(AU7-AR7,"")</f>
        <v>1.4399999999999977</v>
      </c>
      <c r="AU7" s="314">
        <f t="shared" si="27"/>
        <v>23.4</v>
      </c>
      <c r="AV7" s="597"/>
      <c r="AW7" s="527">
        <f t="shared" si="28"/>
        <v>4</v>
      </c>
      <c r="AX7" s="288" t="str">
        <f t="shared" si="29"/>
        <v>N</v>
      </c>
      <c r="AY7" s="289">
        <f t="shared" si="25"/>
        <v>4.9000000000000004</v>
      </c>
      <c r="AZ7" s="315">
        <f t="shared" si="14"/>
        <v>21.96</v>
      </c>
      <c r="BA7" s="313">
        <f t="shared" si="26"/>
        <v>6.2</v>
      </c>
      <c r="BB7" s="290">
        <f t="shared" si="15"/>
        <v>23.4</v>
      </c>
    </row>
    <row r="8" spans="1:54" ht="24" customHeight="1">
      <c r="A8" s="38">
        <f>IF(E8&lt;&gt;"",SUMPRODUCT(--(G8&gt;$G$4:$G$40))+COUNTIF($G$4:G8,G8),"")</f>
        <v>13</v>
      </c>
      <c r="B8" s="38">
        <f>IF(E8&lt;&gt;"",SUMPRODUCT(--(I8&gt;$I$4:$I$40))+COUNTIF($I$4:I8,I8),"")</f>
        <v>14</v>
      </c>
      <c r="C8" s="38">
        <f t="shared" si="16"/>
        <v>53</v>
      </c>
      <c r="D8" s="38">
        <f>IF(E8&lt;&gt;"",COUNTIFS(A:A,"&lt;"&amp;A8)+COUNTIF($A$4:A8,A8),"")</f>
        <v>13</v>
      </c>
      <c r="E8" s="278" t="str">
        <f>IF(Liste!B7&lt;&gt;"",Liste!B7,"")</f>
        <v>E</v>
      </c>
      <c r="F8" s="279" t="str">
        <f>IF(Liste!C7&lt;&gt;"",Liste!C7,"")</f>
        <v>M</v>
      </c>
      <c r="G8" s="280">
        <f>IF(E8&lt;&gt;"",IF(Perf.Sprint!$AK8&lt;&gt;"",Perf.Sprint!$AK8,100),"")</f>
        <v>5.8</v>
      </c>
      <c r="H8" s="281">
        <f>IF(F8&lt;&gt;"",IF(Perf.Sprint!$AM8&lt;&gt;"",Perf.Sprint!$AM8,100),"")</f>
        <v>18.72</v>
      </c>
      <c r="I8" s="280">
        <f>IF(E8&lt;&gt;"",IF(Perf.Sprint!$AX8&lt;&gt;"",Perf.Sprint!$AX8,100),"")</f>
        <v>7.6</v>
      </c>
      <c r="J8" s="281">
        <f>IF(H8&lt;&gt;"",IF(Perf.Sprint!$AZ8&lt;&gt;"",Perf.Sprint!$AZ8,100),"")</f>
        <v>19.079999999999998</v>
      </c>
      <c r="K8" s="263">
        <v>5</v>
      </c>
      <c r="L8" s="20" t="str">
        <f t="array" ref="L8">IF(ROWS($2:6)&lt;=COUNTIF($F$4:$F$40,"F"),INDEX($E$4:$E$40,SMALL(IF($F$4:$F$40="F",MATCH($E$4:$E$40,$E$4:$E$40,0)),ROWS($2:6))),"")</f>
        <v>O</v>
      </c>
      <c r="M8" s="38" t="str">
        <f t="shared" si="0"/>
        <v>F</v>
      </c>
      <c r="N8" s="38">
        <f t="shared" si="1"/>
        <v>5.9</v>
      </c>
      <c r="O8" s="38">
        <f t="shared" si="17"/>
        <v>18.36</v>
      </c>
      <c r="P8" s="38">
        <f t="shared" si="2"/>
        <v>7.6</v>
      </c>
      <c r="Q8" s="38">
        <f t="shared" si="18"/>
        <v>19.079999999999998</v>
      </c>
      <c r="R8" s="38">
        <f>IF(L8&lt;&gt;"",SUMPRODUCT(--(N8&gt;$N$4:$N$40))+COUNTIF($N$4:N8,N8),"")</f>
        <v>6</v>
      </c>
      <c r="S8" s="38">
        <f>IF(L8&lt;&gt;"",SUMPRODUCT(--(P8&gt;$P$4:$P$40))+COUNTIF($P$4:P8,P8),"")</f>
        <v>6</v>
      </c>
      <c r="T8" s="307">
        <f t="shared" si="19"/>
        <v>12</v>
      </c>
      <c r="U8" s="38">
        <f>IF(T8&lt;&gt;"",SUMPRODUCT(--(T8&gt;$T$4:$T$40))+COUNTIF(T$4:$T8,T8),"")</f>
        <v>6</v>
      </c>
      <c r="V8" s="282"/>
      <c r="W8" s="527">
        <f t="shared" si="20"/>
        <v>5</v>
      </c>
      <c r="X8" s="291" t="str">
        <f t="shared" ref="X8:X39" si="31">INDEX($L$4:$L$40,MATCH($W$4:$W$40,$R$4:$R$40,0))</f>
        <v>V</v>
      </c>
      <c r="Y8" s="292">
        <f t="shared" si="3"/>
        <v>5.7</v>
      </c>
      <c r="Z8" s="285">
        <f t="shared" si="4"/>
        <v>19.079999999999998</v>
      </c>
      <c r="AA8" s="316">
        <f t="shared" si="5"/>
        <v>7.3</v>
      </c>
      <c r="AB8" s="309">
        <f t="shared" si="21"/>
        <v>0.72000000000000242</v>
      </c>
      <c r="AC8" s="285">
        <f t="shared" si="6"/>
        <v>19.8</v>
      </c>
      <c r="AD8" s="20" t="str">
        <f t="array" ref="AD8">IF(ROWS($2:6)&lt;=COUNTIF($F$4:$F$40,"M"),INDEX($E$4:$E$40,SMALL(IF($F$4:$F$40="M",MATCH($E$4:$E$40,$E$4:$E$40,0)),ROWS($2:6))),"")</f>
        <v>G</v>
      </c>
      <c r="AE8" s="38" t="str">
        <f t="shared" si="7"/>
        <v>M</v>
      </c>
      <c r="AF8" s="38">
        <f t="shared" si="8"/>
        <v>5.0999999999999996</v>
      </c>
      <c r="AG8" s="38">
        <f t="shared" si="22"/>
        <v>21.24</v>
      </c>
      <c r="AH8" s="38">
        <f t="shared" si="9"/>
        <v>6.5</v>
      </c>
      <c r="AI8" s="38">
        <f t="shared" si="23"/>
        <v>22.32</v>
      </c>
      <c r="AJ8" s="38">
        <f>IF(AD8&lt;&gt;"",SUMPRODUCT(--(AF8&gt;$AF$4:$AF$40))+COUNTIF($AF$4:AF8,AF8),"")</f>
        <v>5</v>
      </c>
      <c r="AK8" s="38">
        <f>IF(AD8&lt;&gt;"",SUMPRODUCT(--(AH8&gt;$AH$4:$AH$40))+COUNTIF($AH$4:AH8,AH8),"")</f>
        <v>5</v>
      </c>
      <c r="AL8" s="307">
        <f t="shared" si="24"/>
        <v>10</v>
      </c>
      <c r="AM8" s="38">
        <f>IF(AD8&lt;&gt;"",COUNTIFS(AJ:AJ,"&lt;"&amp;AJ8)+COUNTIF($AJ$4:AJ8,AJ8),"")</f>
        <v>5</v>
      </c>
      <c r="AN8" s="282"/>
      <c r="AO8" s="527">
        <f t="shared" si="10"/>
        <v>5</v>
      </c>
      <c r="AP8" s="291" t="str">
        <f t="shared" ref="AP8:AP40" si="32">INDEX($AD$4:$AD$40,MATCH($AO$4:$AO$40,$AJ$4:$AJ$40,0))</f>
        <v>G</v>
      </c>
      <c r="AQ8" s="292">
        <f t="shared" si="11"/>
        <v>5.0999999999999996</v>
      </c>
      <c r="AR8" s="285">
        <f t="shared" si="12"/>
        <v>21.24</v>
      </c>
      <c r="AS8" s="316">
        <f t="shared" si="13"/>
        <v>6.5</v>
      </c>
      <c r="AT8" s="309">
        <f t="shared" si="30"/>
        <v>1.0800000000000018</v>
      </c>
      <c r="AU8" s="285">
        <f t="shared" si="27"/>
        <v>22.32</v>
      </c>
      <c r="AV8" s="597"/>
      <c r="AW8" s="527">
        <f t="shared" si="28"/>
        <v>5</v>
      </c>
      <c r="AX8" s="291" t="str">
        <f t="shared" si="29"/>
        <v>G</v>
      </c>
      <c r="AY8" s="292">
        <f t="shared" si="25"/>
        <v>5.0999999999999996</v>
      </c>
      <c r="AZ8" s="317">
        <f t="shared" si="14"/>
        <v>21.24</v>
      </c>
      <c r="BA8" s="316">
        <f t="shared" si="26"/>
        <v>6.5</v>
      </c>
      <c r="BB8" s="285">
        <f t="shared" si="15"/>
        <v>22.32</v>
      </c>
    </row>
    <row r="9" spans="1:54" ht="24" customHeight="1">
      <c r="A9" s="38">
        <f>IF(E9&lt;&gt;"",SUMPRODUCT(--(G9&gt;$G$4:$G$40))+COUNTIF($G$4:G9,G9),"")</f>
        <v>17</v>
      </c>
      <c r="B9" s="38">
        <f>IF(E9&lt;&gt;"",SUMPRODUCT(--(I9&gt;$I$4:$I$40))+COUNTIF($I$4:I9,I9),"")</f>
        <v>17</v>
      </c>
      <c r="C9" s="38">
        <f t="shared" si="16"/>
        <v>68</v>
      </c>
      <c r="D9" s="38">
        <f>IF(E9&lt;&gt;"",COUNTIFS(A:A,"&lt;"&amp;A9)+COUNTIF($A$4:A9,A9),"")</f>
        <v>17</v>
      </c>
      <c r="E9" s="278" t="str">
        <f>IF(Liste!B8&lt;&gt;"",Liste!B8,"")</f>
        <v>F</v>
      </c>
      <c r="F9" s="279" t="str">
        <f>IF(Liste!C8&lt;&gt;"",Liste!C8,"")</f>
        <v>F</v>
      </c>
      <c r="G9" s="280">
        <f>IF(E9&lt;&gt;"",IF(Perf.Sprint!$AK9&lt;&gt;"",Perf.Sprint!$AK9,100),"")</f>
        <v>6.1</v>
      </c>
      <c r="H9" s="281">
        <f>IF(F9&lt;&gt;"",IF(Perf.Sprint!$AM9&lt;&gt;"",Perf.Sprint!$AM9,100),"")</f>
        <v>17.64</v>
      </c>
      <c r="I9" s="280">
        <f>IF(E9&lt;&gt;"",IF(Perf.Sprint!$AX9&lt;&gt;"",Perf.Sprint!$AX9,100),"")</f>
        <v>7.8</v>
      </c>
      <c r="J9" s="281">
        <f>IF(H9&lt;&gt;"",IF(Perf.Sprint!$AZ9&lt;&gt;"",Perf.Sprint!$AZ9,100),"")</f>
        <v>18.36</v>
      </c>
      <c r="K9" s="263">
        <v>6</v>
      </c>
      <c r="L9" s="20" t="str">
        <f t="array" ref="L9">IF(ROWS($2:7)&lt;=COUNTIF($F$4:$F$40,"F"),INDEX($E$4:$E$40,SMALL(IF($F$4:$F$40="F",MATCH($E$4:$E$40,$E$4:$E$40,0)),ROWS($2:7))),"")</f>
        <v>Q</v>
      </c>
      <c r="M9" s="38" t="str">
        <f t="shared" si="0"/>
        <v>F</v>
      </c>
      <c r="N9" s="38">
        <f t="shared" si="1"/>
        <v>5.4</v>
      </c>
      <c r="O9" s="38">
        <f t="shared" si="17"/>
        <v>20.16</v>
      </c>
      <c r="P9" s="38">
        <f t="shared" si="2"/>
        <v>6.9</v>
      </c>
      <c r="Q9" s="38">
        <f t="shared" si="18"/>
        <v>20.88</v>
      </c>
      <c r="R9" s="38">
        <f>IF(L9&lt;&gt;"",SUMPRODUCT(--(N9&gt;$N$4:$N$40))+COUNTIF($N$4:N9,N9),"")</f>
        <v>1</v>
      </c>
      <c r="S9" s="38">
        <f>IF(L9&lt;&gt;"",SUMPRODUCT(--(P9&gt;$P$4:$P$40))+COUNTIF($P$4:P9,P9),"")</f>
        <v>1</v>
      </c>
      <c r="T9" s="307">
        <f t="shared" si="19"/>
        <v>2</v>
      </c>
      <c r="U9" s="38">
        <f>IF(T9&lt;&gt;"",SUMPRODUCT(--(T9&gt;$T$4:$T$40))+COUNTIF(T$4:$T9,T9),"")</f>
        <v>1</v>
      </c>
      <c r="V9" s="282"/>
      <c r="W9" s="527">
        <f t="shared" si="20"/>
        <v>6</v>
      </c>
      <c r="X9" s="288" t="str">
        <f t="shared" si="31"/>
        <v>O</v>
      </c>
      <c r="Y9" s="289">
        <f t="shared" si="3"/>
        <v>5.9</v>
      </c>
      <c r="Z9" s="290">
        <f t="shared" si="4"/>
        <v>18.36</v>
      </c>
      <c r="AA9" s="313">
        <f t="shared" si="5"/>
        <v>7.6</v>
      </c>
      <c r="AB9" s="309">
        <f t="shared" si="21"/>
        <v>0.71999999999999886</v>
      </c>
      <c r="AC9" s="290">
        <f t="shared" si="6"/>
        <v>19.079999999999998</v>
      </c>
      <c r="AD9" s="20" t="str">
        <f t="array" ref="AD9">IF(ROWS($2:7)&lt;=COUNTIF($F$4:$F$40,"M"),INDEX($E$4:$E$40,SMALL(IF($F$4:$F$40="M",MATCH($E$4:$E$40,$E$4:$E$40,0)),ROWS($2:7))),"")</f>
        <v>I</v>
      </c>
      <c r="AE9" s="38" t="str">
        <f t="shared" si="7"/>
        <v>M</v>
      </c>
      <c r="AF9" s="38">
        <f t="shared" si="8"/>
        <v>100</v>
      </c>
      <c r="AG9" s="38">
        <f t="shared" si="22"/>
        <v>100</v>
      </c>
      <c r="AH9" s="38">
        <f t="shared" si="9"/>
        <v>100</v>
      </c>
      <c r="AI9" s="38">
        <f t="shared" si="23"/>
        <v>100</v>
      </c>
      <c r="AJ9" s="38">
        <f>IF(AD9&lt;&gt;"",SUMPRODUCT(--(AF9&gt;$AF$4:$AF$40))+COUNTIF($AF$4:AF9,AF9),"")</f>
        <v>10</v>
      </c>
      <c r="AK9" s="38">
        <f>IF(AD9&lt;&gt;"",SUMPRODUCT(--(AH9&gt;$AH$4:$AH$40))+COUNTIF($AH$4:AH9,AH9),"")</f>
        <v>10</v>
      </c>
      <c r="AL9" s="307">
        <f t="shared" si="24"/>
        <v>20</v>
      </c>
      <c r="AM9" s="38">
        <f>IF(AD9&lt;&gt;"",COUNTIFS(AJ:AJ,"&lt;"&amp;AJ9)+COUNTIF($AJ$4:AJ9,AJ9),"")</f>
        <v>10</v>
      </c>
      <c r="AN9" s="282"/>
      <c r="AO9" s="527">
        <f t="shared" si="10"/>
        <v>6</v>
      </c>
      <c r="AP9" s="288" t="str">
        <f t="shared" si="32"/>
        <v>X</v>
      </c>
      <c r="AQ9" s="289">
        <f t="shared" si="11"/>
        <v>5.3</v>
      </c>
      <c r="AR9" s="314">
        <f t="shared" si="12"/>
        <v>20.52</v>
      </c>
      <c r="AS9" s="313">
        <f t="shared" si="13"/>
        <v>6.7</v>
      </c>
      <c r="AT9" s="309">
        <f t="shared" si="30"/>
        <v>1.0800000000000018</v>
      </c>
      <c r="AU9" s="314">
        <f t="shared" si="27"/>
        <v>21.6</v>
      </c>
      <c r="AV9" s="597"/>
      <c r="AW9" s="527">
        <f t="shared" si="28"/>
        <v>6</v>
      </c>
      <c r="AX9" s="288" t="str">
        <f t="shared" si="29"/>
        <v>X</v>
      </c>
      <c r="AY9" s="289">
        <f t="shared" si="25"/>
        <v>5.3</v>
      </c>
      <c r="AZ9" s="315">
        <f t="shared" si="14"/>
        <v>20.52</v>
      </c>
      <c r="BA9" s="313">
        <f t="shared" si="26"/>
        <v>6.7</v>
      </c>
      <c r="BB9" s="290">
        <f t="shared" si="15"/>
        <v>21.6</v>
      </c>
    </row>
    <row r="10" spans="1:54" ht="24" customHeight="1">
      <c r="A10" s="38">
        <f>IF(E10&lt;&gt;"",SUMPRODUCT(--(G10&gt;$G$4:$G$40))+COUNTIF($G$4:G10,G10),"")</f>
        <v>5</v>
      </c>
      <c r="B10" s="38">
        <f>IF(E10&lt;&gt;"",SUMPRODUCT(--(I10&gt;$I$4:$I$40))+COUNTIF($I$4:I10,I10),"")</f>
        <v>5</v>
      </c>
      <c r="C10" s="38">
        <f t="shared" si="16"/>
        <v>20</v>
      </c>
      <c r="D10" s="38">
        <f>IF(E10&lt;&gt;"",COUNTIFS(A:A,"&lt;"&amp;A10)+COUNTIF($A$4:A10,A10),"")</f>
        <v>5</v>
      </c>
      <c r="E10" s="278" t="str">
        <f>IF(Liste!B9&lt;&gt;"",Liste!B9,"")</f>
        <v>G</v>
      </c>
      <c r="F10" s="279" t="str">
        <f>IF(Liste!C9&lt;&gt;"",Liste!C9,"")</f>
        <v>M</v>
      </c>
      <c r="G10" s="280">
        <f>IF(E10&lt;&gt;"",IF(Perf.Sprint!$AK10&lt;&gt;"",Perf.Sprint!$AK10,100),"")</f>
        <v>5.0999999999999996</v>
      </c>
      <c r="H10" s="281">
        <f>IF(F10&lt;&gt;"",IF(Perf.Sprint!$AM10&lt;&gt;"",Perf.Sprint!$AM10,100),"")</f>
        <v>21.24</v>
      </c>
      <c r="I10" s="280">
        <f>IF(E10&lt;&gt;"",IF(Perf.Sprint!$AX10&lt;&gt;"",Perf.Sprint!$AX10,100),"")</f>
        <v>6.5</v>
      </c>
      <c r="J10" s="281">
        <f>IF(H10&lt;&gt;"",IF(Perf.Sprint!$AZ10&lt;&gt;"",Perf.Sprint!$AZ10,100),"")</f>
        <v>22.32</v>
      </c>
      <c r="K10" s="263">
        <v>7</v>
      </c>
      <c r="L10" s="20" t="str">
        <f t="array" ref="L10">IF(ROWS($2:8)&lt;=COUNTIF($F$4:$F$40,"F"),INDEX($E$4:$E$40,SMALL(IF($F$4:$F$40="F",MATCH($E$4:$E$40,$E$4:$E$40,0)),ROWS($2:8))),"")</f>
        <v>R</v>
      </c>
      <c r="M10" s="38" t="str">
        <f t="shared" si="0"/>
        <v>F</v>
      </c>
      <c r="N10" s="38">
        <f t="shared" si="1"/>
        <v>5.4</v>
      </c>
      <c r="O10" s="38">
        <f t="shared" si="17"/>
        <v>20.16</v>
      </c>
      <c r="P10" s="38">
        <f t="shared" si="2"/>
        <v>6.9</v>
      </c>
      <c r="Q10" s="38">
        <f t="shared" si="18"/>
        <v>20.88</v>
      </c>
      <c r="R10" s="38">
        <f>IF(L10&lt;&gt;"",SUMPRODUCT(--(N10&gt;$N$4:$N$40))+COUNTIF($N$4:N10,N10),"")</f>
        <v>2</v>
      </c>
      <c r="S10" s="38">
        <f>IF(L10&lt;&gt;"",SUMPRODUCT(--(P10&gt;$P$4:$P$40))+COUNTIF($P$4:P10,P10),"")</f>
        <v>2</v>
      </c>
      <c r="T10" s="307">
        <f t="shared" si="19"/>
        <v>4</v>
      </c>
      <c r="U10" s="38">
        <f>IF(T10&lt;&gt;"",SUMPRODUCT(--(T10&gt;$T$4:$T$40))+COUNTIF(T$4:$T10,T10),"")</f>
        <v>2</v>
      </c>
      <c r="V10" s="282"/>
      <c r="W10" s="527">
        <f t="shared" si="20"/>
        <v>7</v>
      </c>
      <c r="X10" s="291" t="str">
        <f t="shared" si="31"/>
        <v>Y</v>
      </c>
      <c r="Y10" s="292">
        <f t="shared" si="3"/>
        <v>5.9</v>
      </c>
      <c r="Z10" s="285">
        <f t="shared" si="4"/>
        <v>18.36</v>
      </c>
      <c r="AA10" s="316">
        <f t="shared" si="5"/>
        <v>7.6</v>
      </c>
      <c r="AB10" s="309">
        <f t="shared" si="21"/>
        <v>0.71999999999999886</v>
      </c>
      <c r="AC10" s="285">
        <f t="shared" si="6"/>
        <v>19.079999999999998</v>
      </c>
      <c r="AD10" s="20" t="str">
        <f t="array" ref="AD10">IF(ROWS($2:8)&lt;=COUNTIF($F$4:$F$40,"M"),INDEX($E$4:$E$40,SMALL(IF($F$4:$F$40="M",MATCH($E$4:$E$40,$E$4:$E$40,0)),ROWS($2:8))),"")</f>
        <v xml:space="preserve">J </v>
      </c>
      <c r="AE10" s="38" t="str">
        <f t="shared" si="7"/>
        <v>M</v>
      </c>
      <c r="AF10" s="38">
        <f t="shared" si="8"/>
        <v>5.8</v>
      </c>
      <c r="AG10" s="38">
        <f t="shared" si="22"/>
        <v>18.72</v>
      </c>
      <c r="AH10" s="38">
        <f t="shared" si="9"/>
        <v>7.4</v>
      </c>
      <c r="AI10" s="38">
        <f t="shared" si="23"/>
        <v>19.440000000000001</v>
      </c>
      <c r="AJ10" s="38">
        <f>IF(AD10&lt;&gt;"",SUMPRODUCT(--(AF10&gt;$AF$4:$AF$40))+COUNTIF($AF$4:AF10,AF10),"")</f>
        <v>9</v>
      </c>
      <c r="AK10" s="38">
        <f>IF(AD10&lt;&gt;"",SUMPRODUCT(--(AH10&gt;$AH$4:$AH$40))+COUNTIF($AH$4:AH10,AH10),"")</f>
        <v>7</v>
      </c>
      <c r="AL10" s="307">
        <f t="shared" si="24"/>
        <v>16</v>
      </c>
      <c r="AM10" s="38">
        <f>IF(AD10&lt;&gt;"",COUNTIFS(AJ:AJ,"&lt;"&amp;AJ10)+COUNTIF($AJ$4:AJ10,AJ10),"")</f>
        <v>9</v>
      </c>
      <c r="AN10" s="282"/>
      <c r="AO10" s="527">
        <f t="shared" si="10"/>
        <v>7</v>
      </c>
      <c r="AP10" s="291" t="str">
        <f t="shared" si="32"/>
        <v>B</v>
      </c>
      <c r="AQ10" s="292">
        <f t="shared" si="11"/>
        <v>5.6</v>
      </c>
      <c r="AR10" s="285">
        <f t="shared" si="12"/>
        <v>19.440000000000001</v>
      </c>
      <c r="AS10" s="316">
        <f t="shared" si="13"/>
        <v>7.6</v>
      </c>
      <c r="AT10" s="309">
        <f t="shared" si="30"/>
        <v>-0.36000000000000298</v>
      </c>
      <c r="AU10" s="285">
        <f t="shared" si="27"/>
        <v>19.079999999999998</v>
      </c>
      <c r="AV10" s="597"/>
      <c r="AW10" s="527">
        <f t="shared" si="28"/>
        <v>7</v>
      </c>
      <c r="AX10" s="291" t="str">
        <f t="shared" si="29"/>
        <v>Q</v>
      </c>
      <c r="AY10" s="292">
        <f t="shared" si="25"/>
        <v>5.4</v>
      </c>
      <c r="AZ10" s="317">
        <f t="shared" si="14"/>
        <v>20.16</v>
      </c>
      <c r="BA10" s="316">
        <f t="shared" si="26"/>
        <v>6.9</v>
      </c>
      <c r="BB10" s="285">
        <f t="shared" si="15"/>
        <v>20.88</v>
      </c>
    </row>
    <row r="11" spans="1:54" ht="24" customHeight="1">
      <c r="A11" s="38">
        <f>IF(E11&lt;&gt;"",SUMPRODUCT(--(G11&gt;$G$4:$G$40))+COUNTIF($G$4:G11,G11),"")</f>
        <v>10</v>
      </c>
      <c r="B11" s="38">
        <f>IF(E11&lt;&gt;"",SUMPRODUCT(--(I11&gt;$I$4:$I$40))+COUNTIF($I$4:I11,I11),"")</f>
        <v>11</v>
      </c>
      <c r="C11" s="38">
        <f t="shared" si="16"/>
        <v>41</v>
      </c>
      <c r="D11" s="38">
        <f>IF(E11&lt;&gt;"",COUNTIFS(A:A,"&lt;"&amp;A11)+COUNTIF($A$4:A11,A11),"")</f>
        <v>10</v>
      </c>
      <c r="E11" s="278" t="str">
        <f>IF(Liste!B10&lt;&gt;"",Liste!B10,"")</f>
        <v>H</v>
      </c>
      <c r="F11" s="279" t="str">
        <f>IF(Liste!C10&lt;&gt;"",Liste!C10,"")</f>
        <v>F</v>
      </c>
      <c r="G11" s="280">
        <f>IF(E11&lt;&gt;"",IF(Perf.Sprint!$AK11&lt;&gt;"",Perf.Sprint!$AK11,100),"")</f>
        <v>5.7</v>
      </c>
      <c r="H11" s="281">
        <f>IF(F11&lt;&gt;"",IF(Perf.Sprint!$AM11&lt;&gt;"",Perf.Sprint!$AM11,100),"")</f>
        <v>19.079999999999998</v>
      </c>
      <c r="I11" s="280">
        <f>IF(E11&lt;&gt;"",IF(Perf.Sprint!$AX11&lt;&gt;"",Perf.Sprint!$AX11,100),"")</f>
        <v>7.4</v>
      </c>
      <c r="J11" s="281">
        <f>IF(H11&lt;&gt;"",IF(Perf.Sprint!$AZ11&lt;&gt;"",Perf.Sprint!$AZ11,100),"")</f>
        <v>19.440000000000001</v>
      </c>
      <c r="K11" s="263">
        <v>8</v>
      </c>
      <c r="L11" s="20" t="str">
        <f t="array" ref="L11">IF(ROWS($2:9)&lt;=COUNTIF($F$4:$F$40,"F"),INDEX($E$4:$E$40,SMALL(IF($F$4:$F$40="F",MATCH($E$4:$E$40,$E$4:$E$40,0)),ROWS($2:9))),"")</f>
        <v>S</v>
      </c>
      <c r="M11" s="38" t="str">
        <f t="shared" si="0"/>
        <v>F</v>
      </c>
      <c r="N11" s="38">
        <f t="shared" si="1"/>
        <v>100</v>
      </c>
      <c r="O11" s="38">
        <f t="shared" si="17"/>
        <v>100</v>
      </c>
      <c r="P11" s="38">
        <f t="shared" si="2"/>
        <v>100</v>
      </c>
      <c r="Q11" s="38">
        <f t="shared" si="18"/>
        <v>100</v>
      </c>
      <c r="R11" s="38">
        <f>IF(L11&lt;&gt;"",SUMPRODUCT(--(N11&gt;$N$4:$N$40))+COUNTIF($N$4:N11,N11),"")</f>
        <v>12</v>
      </c>
      <c r="S11" s="38">
        <f>IF(L11&lt;&gt;"",SUMPRODUCT(--(P11&gt;$P$4:$P$40))+COUNTIF($P$4:P11,P11),"")</f>
        <v>12</v>
      </c>
      <c r="T11" s="307">
        <f t="shared" si="19"/>
        <v>24</v>
      </c>
      <c r="U11" s="38">
        <f>IF(T11&lt;&gt;"",SUMPRODUCT(--(T11&gt;$T$4:$T$40))+COUNTIF(T$4:$T11,T11),"")</f>
        <v>12</v>
      </c>
      <c r="V11" s="282"/>
      <c r="W11" s="527">
        <f t="shared" si="20"/>
        <v>8</v>
      </c>
      <c r="X11" s="288" t="str">
        <f t="shared" si="31"/>
        <v>F</v>
      </c>
      <c r="Y11" s="289">
        <f t="shared" si="3"/>
        <v>6.1</v>
      </c>
      <c r="Z11" s="290">
        <f t="shared" si="4"/>
        <v>17.64</v>
      </c>
      <c r="AA11" s="313">
        <f t="shared" si="5"/>
        <v>7.8</v>
      </c>
      <c r="AB11" s="309">
        <f t="shared" si="21"/>
        <v>0.71999999999999886</v>
      </c>
      <c r="AC11" s="290">
        <f t="shared" si="6"/>
        <v>18.36</v>
      </c>
      <c r="AD11" s="20" t="str">
        <f t="array" ref="AD11">IF(ROWS($2:9)&lt;=COUNTIF($F$4:$F$40,"M"),INDEX($E$4:$E$40,SMALL(IF($F$4:$F$40="M",MATCH($E$4:$E$40,$E$4:$E$40,0)),ROWS($2:9))),"")</f>
        <v>K</v>
      </c>
      <c r="AE11" s="38" t="str">
        <f t="shared" si="7"/>
        <v>M</v>
      </c>
      <c r="AF11" s="38">
        <f t="shared" si="8"/>
        <v>4.8</v>
      </c>
      <c r="AG11" s="38">
        <f t="shared" si="22"/>
        <v>22.68</v>
      </c>
      <c r="AH11" s="38">
        <f t="shared" si="9"/>
        <v>6.1</v>
      </c>
      <c r="AI11" s="38">
        <f t="shared" si="23"/>
        <v>23.76</v>
      </c>
      <c r="AJ11" s="38">
        <f>IF(AD11&lt;&gt;"",SUMPRODUCT(--(AF11&gt;$AF$4:$AF$40))+COUNTIF($AF$4:AF11,AF11),"")</f>
        <v>2</v>
      </c>
      <c r="AK11" s="38">
        <f>IF(AD11&lt;&gt;"",SUMPRODUCT(--(AH11&gt;$AH$4:$AH$40))+COUNTIF($AH$4:AH11,AH11),"")</f>
        <v>3</v>
      </c>
      <c r="AL11" s="307">
        <f t="shared" si="24"/>
        <v>5</v>
      </c>
      <c r="AM11" s="38">
        <f>IF(AD11&lt;&gt;"",COUNTIFS(AJ:AJ,"&lt;"&amp;AJ11)+COUNTIF($AJ$4:AJ11,AJ11),"")</f>
        <v>2</v>
      </c>
      <c r="AN11" s="282"/>
      <c r="AO11" s="527">
        <f t="shared" si="10"/>
        <v>8</v>
      </c>
      <c r="AP11" s="288" t="str">
        <f t="shared" si="32"/>
        <v>E</v>
      </c>
      <c r="AQ11" s="289">
        <f t="shared" si="11"/>
        <v>5.8</v>
      </c>
      <c r="AR11" s="314">
        <f t="shared" si="12"/>
        <v>18.72</v>
      </c>
      <c r="AS11" s="313">
        <f t="shared" si="13"/>
        <v>7.6</v>
      </c>
      <c r="AT11" s="309">
        <f t="shared" si="30"/>
        <v>0.35999999999999943</v>
      </c>
      <c r="AU11" s="314">
        <f t="shared" si="27"/>
        <v>19.079999999999998</v>
      </c>
      <c r="AV11" s="597"/>
      <c r="AW11" s="527">
        <f t="shared" si="28"/>
        <v>8</v>
      </c>
      <c r="AX11" s="288" t="str">
        <f t="shared" si="29"/>
        <v>R</v>
      </c>
      <c r="AY11" s="289">
        <f t="shared" si="25"/>
        <v>5.4</v>
      </c>
      <c r="AZ11" s="315">
        <f t="shared" si="14"/>
        <v>20.16</v>
      </c>
      <c r="BA11" s="313">
        <f t="shared" si="26"/>
        <v>6.9</v>
      </c>
      <c r="BB11" s="290">
        <f t="shared" si="15"/>
        <v>20.88</v>
      </c>
    </row>
    <row r="12" spans="1:54" ht="24" customHeight="1">
      <c r="A12" s="38">
        <f>IF(E12&lt;&gt;"",SUMPRODUCT(--(G12&gt;$G$4:$G$40))+COUNTIF($G$4:G12,G12),"")</f>
        <v>21</v>
      </c>
      <c r="B12" s="38">
        <f>IF(E12&lt;&gt;"",SUMPRODUCT(--(I12&gt;$I$4:$I$40))+COUNTIF($I$4:I12,I12),"")</f>
        <v>21</v>
      </c>
      <c r="C12" s="38">
        <f t="shared" si="16"/>
        <v>84</v>
      </c>
      <c r="D12" s="38">
        <f>IF(E12&lt;&gt;"",COUNTIFS(A:A,"&lt;"&amp;A12)+COUNTIF($A$4:A12,A12),"")</f>
        <v>21</v>
      </c>
      <c r="E12" s="278" t="str">
        <f>IF(Liste!B11&lt;&gt;"",Liste!B11,"")</f>
        <v>I</v>
      </c>
      <c r="F12" s="279" t="str">
        <f>IF(Liste!C11&lt;&gt;"",Liste!C11,"")</f>
        <v>M</v>
      </c>
      <c r="G12" s="280">
        <f>IF(E12&lt;&gt;"",IF(Perf.Sprint!$AK12&lt;&gt;"",Perf.Sprint!$AK12,100),"")</f>
        <v>100</v>
      </c>
      <c r="H12" s="281">
        <f>IF(F12&lt;&gt;"",IF(Perf.Sprint!$AM12&lt;&gt;"",Perf.Sprint!$AM12,100),"")</f>
        <v>100</v>
      </c>
      <c r="I12" s="280">
        <f>IF(E12&lt;&gt;"",IF(Perf.Sprint!$AX12&lt;&gt;"",Perf.Sprint!$AX12,100),"")</f>
        <v>100</v>
      </c>
      <c r="J12" s="281">
        <f>IF(H12&lt;&gt;"",IF(Perf.Sprint!$AZ12&lt;&gt;"",Perf.Sprint!$AZ12,100),"")</f>
        <v>100</v>
      </c>
      <c r="K12" s="263">
        <v>9</v>
      </c>
      <c r="L12" s="20" t="str">
        <f t="array" ref="L12">IF(ROWS($2:10)&lt;=COUNTIF($F$4:$F$40,"F"),INDEX($E$4:$E$40,SMALL(IF($F$4:$F$40="F",MATCH($E$4:$E$40,$E$4:$E$40,0)),ROWS($2:10))),"")</f>
        <v>T</v>
      </c>
      <c r="M12" s="38" t="str">
        <f t="shared" si="0"/>
        <v>F</v>
      </c>
      <c r="N12" s="38">
        <f t="shared" si="1"/>
        <v>6.4</v>
      </c>
      <c r="O12" s="38">
        <f t="shared" si="17"/>
        <v>16.920000000000002</v>
      </c>
      <c r="P12" s="38">
        <f t="shared" si="2"/>
        <v>8.3000000000000007</v>
      </c>
      <c r="Q12" s="38">
        <f t="shared" si="18"/>
        <v>17.28</v>
      </c>
      <c r="R12" s="38">
        <f>IF(L12&lt;&gt;"",SUMPRODUCT(--(N12&gt;$N$4:$N$40))+COUNTIF($N$4:N12,N12),"")</f>
        <v>10</v>
      </c>
      <c r="S12" s="38">
        <f>IF(L12&lt;&gt;"",SUMPRODUCT(--(P12&gt;$P$4:$P$40))+COUNTIF($P$4:P12,P12),"")</f>
        <v>9</v>
      </c>
      <c r="T12" s="307">
        <f t="shared" si="19"/>
        <v>19</v>
      </c>
      <c r="U12" s="38">
        <f>IF(T12&lt;&gt;"",SUMPRODUCT(--(T12&gt;$T$4:$T$40))+COUNTIF(T$4:$T12,T12),"")</f>
        <v>9</v>
      </c>
      <c r="V12" s="282"/>
      <c r="W12" s="527">
        <f t="shared" si="20"/>
        <v>9</v>
      </c>
      <c r="X12" s="291" t="str">
        <f t="shared" si="31"/>
        <v>U</v>
      </c>
      <c r="Y12" s="292">
        <f t="shared" si="3"/>
        <v>6.3</v>
      </c>
      <c r="Z12" s="285">
        <f t="shared" si="4"/>
        <v>17.28</v>
      </c>
      <c r="AA12" s="316">
        <f t="shared" si="5"/>
        <v>8.3000000000000007</v>
      </c>
      <c r="AB12" s="309">
        <f t="shared" si="21"/>
        <v>0</v>
      </c>
      <c r="AC12" s="285">
        <f t="shared" si="6"/>
        <v>17.28</v>
      </c>
      <c r="AD12" s="20" t="str">
        <f t="array" ref="AD12">IF(ROWS($2:10)&lt;=COUNTIF($F$4:$F$40,"M"),INDEX($E$4:$E$40,SMALL(IF($F$4:$F$40="M",MATCH($E$4:$E$40,$E$4:$E$40,0)),ROWS($2:10))),"")</f>
        <v>L</v>
      </c>
      <c r="AE12" s="38" t="str">
        <f t="shared" si="7"/>
        <v>M</v>
      </c>
      <c r="AF12" s="38">
        <f t="shared" si="8"/>
        <v>100</v>
      </c>
      <c r="AG12" s="38">
        <f t="shared" si="22"/>
        <v>100</v>
      </c>
      <c r="AH12" s="38">
        <f t="shared" si="9"/>
        <v>100</v>
      </c>
      <c r="AI12" s="38">
        <f t="shared" si="23"/>
        <v>100</v>
      </c>
      <c r="AJ12" s="38">
        <f>IF(AD12&lt;&gt;"",SUMPRODUCT(--(AF12&gt;$AF$4:$AF$40))+COUNTIF($AF$4:AF12,AF12),"")</f>
        <v>11</v>
      </c>
      <c r="AK12" s="38">
        <f>IF(AD12&lt;&gt;"",SUMPRODUCT(--(AH12&gt;$AH$4:$AH$40))+COUNTIF($AH$4:AH12,AH12),"")</f>
        <v>11</v>
      </c>
      <c r="AL12" s="307">
        <f t="shared" si="24"/>
        <v>22</v>
      </c>
      <c r="AM12" s="38">
        <f>IF(AD12&lt;&gt;"",COUNTIFS(AJ:AJ,"&lt;"&amp;AJ12)+COUNTIF($AJ$4:AJ12,AJ12),"")</f>
        <v>11</v>
      </c>
      <c r="AN12" s="282"/>
      <c r="AO12" s="527">
        <f t="shared" si="10"/>
        <v>9</v>
      </c>
      <c r="AP12" s="291" t="str">
        <f t="shared" si="32"/>
        <v xml:space="preserve">J </v>
      </c>
      <c r="AQ12" s="292">
        <f t="shared" si="11"/>
        <v>5.8</v>
      </c>
      <c r="AR12" s="285">
        <f t="shared" si="12"/>
        <v>18.72</v>
      </c>
      <c r="AS12" s="316">
        <f t="shared" si="13"/>
        <v>7.4</v>
      </c>
      <c r="AT12" s="309">
        <f t="shared" si="30"/>
        <v>0.72000000000000242</v>
      </c>
      <c r="AU12" s="285">
        <f t="shared" si="27"/>
        <v>19.440000000000001</v>
      </c>
      <c r="AV12" s="597"/>
      <c r="AW12" s="527">
        <f t="shared" si="28"/>
        <v>9</v>
      </c>
      <c r="AX12" s="291" t="str">
        <f t="shared" si="29"/>
        <v>B</v>
      </c>
      <c r="AY12" s="292">
        <f t="shared" si="25"/>
        <v>5.6</v>
      </c>
      <c r="AZ12" s="317">
        <f t="shared" si="14"/>
        <v>19.440000000000001</v>
      </c>
      <c r="BA12" s="316">
        <f t="shared" si="26"/>
        <v>7.6</v>
      </c>
      <c r="BB12" s="285">
        <f t="shared" si="15"/>
        <v>19.079999999999998</v>
      </c>
    </row>
    <row r="13" spans="1:54" ht="24" customHeight="1">
      <c r="A13" s="38">
        <f>IF(E13&lt;&gt;"",SUMPRODUCT(--(G13&gt;$G$4:$G$40))+COUNTIF($G$4:G13,G13),"")</f>
        <v>14</v>
      </c>
      <c r="B13" s="38">
        <f>IF(E13&lt;&gt;"",SUMPRODUCT(--(I13&gt;$I$4:$I$40))+COUNTIF($I$4:I13,I13),"")</f>
        <v>12</v>
      </c>
      <c r="C13" s="38">
        <f t="shared" si="16"/>
        <v>54</v>
      </c>
      <c r="D13" s="38">
        <f>IF(E13&lt;&gt;"",COUNTIFS(A:A,"&lt;"&amp;A13)+COUNTIF($A$4:A13,A13),"")</f>
        <v>14</v>
      </c>
      <c r="E13" s="278" t="str">
        <f>IF(Liste!B12&lt;&gt;"",Liste!B12,"")</f>
        <v xml:space="preserve">J </v>
      </c>
      <c r="F13" s="279" t="str">
        <f>IF(Liste!C12&lt;&gt;"",Liste!C12,"")</f>
        <v>M</v>
      </c>
      <c r="G13" s="280">
        <f>IF(E13&lt;&gt;"",IF(Perf.Sprint!$AK13&lt;&gt;"",Perf.Sprint!$AK13,100),"")</f>
        <v>5.8</v>
      </c>
      <c r="H13" s="281">
        <f>IF(F13&lt;&gt;"",IF(Perf.Sprint!$AM13&lt;&gt;"",Perf.Sprint!$AM13,100),"")</f>
        <v>18.72</v>
      </c>
      <c r="I13" s="280">
        <f>IF(E13&lt;&gt;"",IF(Perf.Sprint!$AX13&lt;&gt;"",Perf.Sprint!$AX13,100),"")</f>
        <v>7.4</v>
      </c>
      <c r="J13" s="281">
        <f>IF(H13&lt;&gt;"",IF(Perf.Sprint!$AZ13&lt;&gt;"",Perf.Sprint!$AZ13,100),"")</f>
        <v>19.440000000000001</v>
      </c>
      <c r="K13" s="263">
        <v>10</v>
      </c>
      <c r="L13" s="20" t="str">
        <f t="array" ref="L13">IF(ROWS($2:11)&lt;=COUNTIF($F$4:$F$40,"F"),INDEX($E$4:$E$40,SMALL(IF($F$4:$F$40="F",MATCH($E$4:$E$40,$E$4:$E$40,0)),ROWS($2:11))),"")</f>
        <v>U</v>
      </c>
      <c r="M13" s="38" t="str">
        <f t="shared" si="0"/>
        <v>F</v>
      </c>
      <c r="N13" s="38">
        <f t="shared" si="1"/>
        <v>6.3</v>
      </c>
      <c r="O13" s="38">
        <f t="shared" si="17"/>
        <v>17.28</v>
      </c>
      <c r="P13" s="38">
        <f t="shared" si="2"/>
        <v>8.3000000000000007</v>
      </c>
      <c r="Q13" s="38">
        <f t="shared" si="18"/>
        <v>17.28</v>
      </c>
      <c r="R13" s="38">
        <f>IF(L13&lt;&gt;"",SUMPRODUCT(--(N13&gt;$N$4:$N$40))+COUNTIF($N$4:N13,N13),"")</f>
        <v>9</v>
      </c>
      <c r="S13" s="38">
        <f>IF(L13&lt;&gt;"",SUMPRODUCT(--(P13&gt;$P$4:$P$40))+COUNTIF($P$4:P13,P13),"")</f>
        <v>10</v>
      </c>
      <c r="T13" s="307">
        <f t="shared" si="19"/>
        <v>19</v>
      </c>
      <c r="U13" s="38">
        <f>IF(T13&lt;&gt;"",SUMPRODUCT(--(T13&gt;$T$4:$T$40))+COUNTIF(T$4:$T13,T13),"")</f>
        <v>10</v>
      </c>
      <c r="V13" s="282"/>
      <c r="W13" s="527">
        <f t="shared" si="20"/>
        <v>10</v>
      </c>
      <c r="X13" s="288" t="str">
        <f t="shared" si="31"/>
        <v>T</v>
      </c>
      <c r="Y13" s="289">
        <f t="shared" si="3"/>
        <v>6.4</v>
      </c>
      <c r="Z13" s="290">
        <f t="shared" si="4"/>
        <v>16.920000000000002</v>
      </c>
      <c r="AA13" s="313">
        <f t="shared" si="5"/>
        <v>8.3000000000000007</v>
      </c>
      <c r="AB13" s="309">
        <f t="shared" si="21"/>
        <v>0.35999999999999943</v>
      </c>
      <c r="AC13" s="290">
        <f t="shared" si="6"/>
        <v>17.28</v>
      </c>
      <c r="AD13" s="20" t="str">
        <f t="array" ref="AD13">IF(ROWS($2:11)&lt;=COUNTIF($F$4:$F$40,"M"),INDEX($E$4:$E$40,SMALL(IF($F$4:$F$40="M",MATCH($E$4:$E$40,$E$4:$E$40,0)),ROWS($2:11))),"")</f>
        <v>N</v>
      </c>
      <c r="AE13" s="38" t="str">
        <f t="shared" si="7"/>
        <v>M</v>
      </c>
      <c r="AF13" s="38">
        <f t="shared" si="8"/>
        <v>4.9000000000000004</v>
      </c>
      <c r="AG13" s="38">
        <f t="shared" si="22"/>
        <v>21.96</v>
      </c>
      <c r="AH13" s="38">
        <f t="shared" si="9"/>
        <v>6.2</v>
      </c>
      <c r="AI13" s="38">
        <f t="shared" si="23"/>
        <v>23.4</v>
      </c>
      <c r="AJ13" s="38">
        <f>IF(AD13&lt;&gt;"",SUMPRODUCT(--(AF13&gt;$AF$4:$AF$40))+COUNTIF($AF$4:AF13,AF13),"")</f>
        <v>4</v>
      </c>
      <c r="AK13" s="38">
        <f>IF(AD13&lt;&gt;"",SUMPRODUCT(--(AH13&gt;$AH$4:$AH$40))+COUNTIF($AH$4:AH13,AH13),"")</f>
        <v>4</v>
      </c>
      <c r="AL13" s="307">
        <f t="shared" si="24"/>
        <v>8</v>
      </c>
      <c r="AM13" s="38">
        <f>IF(AD13&lt;&gt;"",COUNTIFS(AJ:AJ,"&lt;"&amp;AJ13)+COUNTIF($AJ$4:AJ13,AJ13),"")</f>
        <v>4</v>
      </c>
      <c r="AN13" s="282"/>
      <c r="AO13" s="527">
        <f t="shared" si="10"/>
        <v>10</v>
      </c>
      <c r="AP13" s="288" t="str">
        <f t="shared" si="32"/>
        <v>I</v>
      </c>
      <c r="AQ13" s="289">
        <f t="shared" si="11"/>
        <v>100</v>
      </c>
      <c r="AR13" s="314" t="str">
        <f t="shared" si="12"/>
        <v/>
      </c>
      <c r="AS13" s="313">
        <f t="shared" si="13"/>
        <v>100</v>
      </c>
      <c r="AT13" s="309" t="str">
        <f t="shared" si="30"/>
        <v/>
      </c>
      <c r="AU13" s="314" t="str">
        <f t="shared" si="27"/>
        <v/>
      </c>
      <c r="AV13" s="597"/>
      <c r="AW13" s="527">
        <f t="shared" si="28"/>
        <v>10</v>
      </c>
      <c r="AX13" s="288" t="str">
        <f t="shared" si="29"/>
        <v>H</v>
      </c>
      <c r="AY13" s="289">
        <f t="shared" si="25"/>
        <v>5.7</v>
      </c>
      <c r="AZ13" s="315">
        <f t="shared" si="14"/>
        <v>19.079999999999998</v>
      </c>
      <c r="BA13" s="313">
        <f t="shared" si="26"/>
        <v>7.4</v>
      </c>
      <c r="BB13" s="290">
        <f t="shared" si="15"/>
        <v>19.440000000000001</v>
      </c>
    </row>
    <row r="14" spans="1:54" ht="24" customHeight="1">
      <c r="A14" s="38">
        <f>IF(E14&lt;&gt;"",SUMPRODUCT(--(G14&gt;$G$4:$G$40))+COUNTIF($G$4:G14,G14),"")</f>
        <v>2</v>
      </c>
      <c r="B14" s="38">
        <f>IF(E14&lt;&gt;"",SUMPRODUCT(--(I14&gt;$I$4:$I$40))+COUNTIF($I$4:I14,I14),"")</f>
        <v>3</v>
      </c>
      <c r="C14" s="38">
        <f t="shared" si="16"/>
        <v>9</v>
      </c>
      <c r="D14" s="38">
        <f>IF(E14&lt;&gt;"",COUNTIFS(A:A,"&lt;"&amp;A14)+COUNTIF($A$4:A14,A14),"")</f>
        <v>2</v>
      </c>
      <c r="E14" s="278" t="str">
        <f>IF(Liste!B13&lt;&gt;"",Liste!B13,"")</f>
        <v>K</v>
      </c>
      <c r="F14" s="279" t="str">
        <f>IF(Liste!C13&lt;&gt;"",Liste!C13,"")</f>
        <v>M</v>
      </c>
      <c r="G14" s="280">
        <f>IF(E14&lt;&gt;"",IF(Perf.Sprint!$AK14&lt;&gt;"",Perf.Sprint!$AK14,100),"")</f>
        <v>4.8</v>
      </c>
      <c r="H14" s="281">
        <f>IF(F14&lt;&gt;"",IF(Perf.Sprint!$AM14&lt;&gt;"",Perf.Sprint!$AM14,100),"")</f>
        <v>22.68</v>
      </c>
      <c r="I14" s="280">
        <f>IF(E14&lt;&gt;"",IF(Perf.Sprint!$AX14&lt;&gt;"",Perf.Sprint!$AX14,100),"")</f>
        <v>6.1</v>
      </c>
      <c r="J14" s="281">
        <f>IF(H14&lt;&gt;"",IF(Perf.Sprint!$AZ14&lt;&gt;"",Perf.Sprint!$AZ14,100),"")</f>
        <v>23.76</v>
      </c>
      <c r="K14" s="263">
        <v>11</v>
      </c>
      <c r="L14" s="20" t="str">
        <f t="array" ref="L14">IF(ROWS($2:12)&lt;=COUNTIF($F$4:$F$40,"F"),INDEX($E$4:$E$40,SMALL(IF($F$4:$F$40="F",MATCH($E$4:$E$40,$E$4:$E$40,0)),ROWS($2:12))),"")</f>
        <v>V</v>
      </c>
      <c r="M14" s="38" t="str">
        <f t="shared" si="0"/>
        <v>F</v>
      </c>
      <c r="N14" s="38">
        <f t="shared" si="1"/>
        <v>5.7</v>
      </c>
      <c r="O14" s="38">
        <f t="shared" si="17"/>
        <v>19.079999999999998</v>
      </c>
      <c r="P14" s="38">
        <f t="shared" si="2"/>
        <v>7.3</v>
      </c>
      <c r="Q14" s="38">
        <f t="shared" si="18"/>
        <v>19.8</v>
      </c>
      <c r="R14" s="38">
        <f>IF(L14&lt;&gt;"",SUMPRODUCT(--(N14&gt;$N$4:$N$40))+COUNTIF($N$4:N14,N14),"")</f>
        <v>5</v>
      </c>
      <c r="S14" s="38">
        <f>IF(L14&lt;&gt;"",SUMPRODUCT(--(P14&gt;$P$4:$P$40))+COUNTIF($P$4:P14,P14),"")</f>
        <v>4</v>
      </c>
      <c r="T14" s="307">
        <f t="shared" si="19"/>
        <v>9</v>
      </c>
      <c r="U14" s="38">
        <f>IF(T14&lt;&gt;"",SUMPRODUCT(--(T14&gt;$T$4:$T$40))+COUNTIF(T$4:$T14,T14),"")</f>
        <v>5</v>
      </c>
      <c r="V14" s="282"/>
      <c r="W14" s="527">
        <f t="shared" si="20"/>
        <v>11</v>
      </c>
      <c r="X14" s="291" t="str">
        <f t="shared" si="31"/>
        <v>A</v>
      </c>
      <c r="Y14" s="292">
        <f t="shared" si="3"/>
        <v>100</v>
      </c>
      <c r="Z14" s="285" t="str">
        <f t="shared" si="4"/>
        <v/>
      </c>
      <c r="AA14" s="316">
        <f t="shared" si="5"/>
        <v>100</v>
      </c>
      <c r="AB14" s="309" t="str">
        <f t="shared" si="21"/>
        <v/>
      </c>
      <c r="AC14" s="285" t="str">
        <f t="shared" si="6"/>
        <v/>
      </c>
      <c r="AD14" s="20" t="str">
        <f t="array" ref="AD14">IF(ROWS($2:12)&lt;=COUNTIF($F$4:$F$40,"M"),INDEX($E$4:$E$40,SMALL(IF($F$4:$F$40="M",MATCH($E$4:$E$40,$E$4:$E$40,0)),ROWS($2:12))),"")</f>
        <v>P</v>
      </c>
      <c r="AE14" s="38" t="str">
        <f t="shared" si="7"/>
        <v>M</v>
      </c>
      <c r="AF14" s="38">
        <f t="shared" si="8"/>
        <v>100</v>
      </c>
      <c r="AG14" s="38">
        <f t="shared" si="22"/>
        <v>100</v>
      </c>
      <c r="AH14" s="38">
        <f t="shared" si="9"/>
        <v>100</v>
      </c>
      <c r="AI14" s="38">
        <f t="shared" si="23"/>
        <v>100</v>
      </c>
      <c r="AJ14" s="38">
        <f>IF(AD14&lt;&gt;"",SUMPRODUCT(--(AF14&gt;$AF$4:$AF$40))+COUNTIF($AF$4:AF14,AF14),"")</f>
        <v>12</v>
      </c>
      <c r="AK14" s="38">
        <f>IF(AD14&lt;&gt;"",SUMPRODUCT(--(AH14&gt;$AH$4:$AH$40))+COUNTIF($AH$4:AH14,AH14),"")</f>
        <v>12</v>
      </c>
      <c r="AL14" s="307">
        <f t="shared" si="24"/>
        <v>24</v>
      </c>
      <c r="AM14" s="38">
        <f>IF(AD14&lt;&gt;"",COUNTIFS(AJ:AJ,"&lt;"&amp;AJ14)+COUNTIF($AJ$4:AJ14,AJ14),"")</f>
        <v>12</v>
      </c>
      <c r="AN14" s="282"/>
      <c r="AO14" s="527">
        <f t="shared" si="10"/>
        <v>11</v>
      </c>
      <c r="AP14" s="291" t="str">
        <f t="shared" si="32"/>
        <v>L</v>
      </c>
      <c r="AQ14" s="292">
        <f t="shared" si="11"/>
        <v>100</v>
      </c>
      <c r="AR14" s="285" t="str">
        <f t="shared" si="12"/>
        <v/>
      </c>
      <c r="AS14" s="316">
        <f t="shared" si="13"/>
        <v>100</v>
      </c>
      <c r="AT14" s="309" t="str">
        <f t="shared" si="30"/>
        <v/>
      </c>
      <c r="AU14" s="285" t="str">
        <f t="shared" si="27"/>
        <v/>
      </c>
      <c r="AV14" s="597"/>
      <c r="AW14" s="527">
        <f t="shared" si="28"/>
        <v>11</v>
      </c>
      <c r="AX14" s="291" t="str">
        <f t="shared" si="29"/>
        <v>M</v>
      </c>
      <c r="AY14" s="292">
        <f t="shared" si="25"/>
        <v>5.7</v>
      </c>
      <c r="AZ14" s="317">
        <f t="shared" si="14"/>
        <v>19.079999999999998</v>
      </c>
      <c r="BA14" s="316">
        <f t="shared" si="26"/>
        <v>7.3</v>
      </c>
      <c r="BB14" s="285">
        <f t="shared" si="15"/>
        <v>19.8</v>
      </c>
    </row>
    <row r="15" spans="1:54" ht="24" customHeight="1">
      <c r="A15" s="38">
        <f>IF(E15&lt;&gt;"",SUMPRODUCT(--(G15&gt;$G$4:$G$40))+COUNTIF($G$4:G15,G15),"")</f>
        <v>22</v>
      </c>
      <c r="B15" s="38">
        <f>IF(E15&lt;&gt;"",SUMPRODUCT(--(I15&gt;$I$4:$I$40))+COUNTIF($I$4:I15,I15),"")</f>
        <v>22</v>
      </c>
      <c r="C15" s="38">
        <f t="shared" si="16"/>
        <v>88</v>
      </c>
      <c r="D15" s="38">
        <f>IF(E15&lt;&gt;"",COUNTIFS(A:A,"&lt;"&amp;A15)+COUNTIF($A$4:A15,A15),"")</f>
        <v>22</v>
      </c>
      <c r="E15" s="278" t="str">
        <f>IF(Liste!B14&lt;&gt;"",Liste!B14,"")</f>
        <v>L</v>
      </c>
      <c r="F15" s="279" t="str">
        <f>IF(Liste!C14&lt;&gt;"",Liste!C14,"")</f>
        <v>M</v>
      </c>
      <c r="G15" s="280">
        <f>IF(E15&lt;&gt;"",IF(Perf.Sprint!$AK15&lt;&gt;"",Perf.Sprint!$AK15,100),"")</f>
        <v>100</v>
      </c>
      <c r="H15" s="281">
        <f>IF(F15&lt;&gt;"",IF(Perf.Sprint!$AM15&lt;&gt;"",Perf.Sprint!$AM15,100),"")</f>
        <v>100</v>
      </c>
      <c r="I15" s="280">
        <f>IF(E15&lt;&gt;"",IF(Perf.Sprint!$AX15&lt;&gt;"",Perf.Sprint!$AX15,100),"")</f>
        <v>100</v>
      </c>
      <c r="J15" s="281">
        <f>IF(H15&lt;&gt;"",IF(Perf.Sprint!$AZ15&lt;&gt;"",Perf.Sprint!$AZ15,100),"")</f>
        <v>100</v>
      </c>
      <c r="K15" s="263">
        <v>12</v>
      </c>
      <c r="L15" s="20" t="str">
        <f t="array" ref="L15">IF(ROWS($2:13)&lt;=COUNTIF($F$4:$F$40,"F"),INDEX($E$4:$E$40,SMALL(IF($F$4:$F$40="F",MATCH($E$4:$E$40,$E$4:$E$40,0)),ROWS($2:13))),"")</f>
        <v>W</v>
      </c>
      <c r="M15" s="38" t="str">
        <f t="shared" si="0"/>
        <v>F</v>
      </c>
      <c r="N15" s="38">
        <f t="shared" si="1"/>
        <v>100</v>
      </c>
      <c r="O15" s="38">
        <f t="shared" si="17"/>
        <v>100</v>
      </c>
      <c r="P15" s="38">
        <f t="shared" si="2"/>
        <v>100</v>
      </c>
      <c r="Q15" s="38">
        <f t="shared" si="18"/>
        <v>100</v>
      </c>
      <c r="R15" s="38">
        <f>IF(L15&lt;&gt;"",SUMPRODUCT(--(N15&gt;$N$4:$N$40))+COUNTIF($N$4:N15,N15),"")</f>
        <v>13</v>
      </c>
      <c r="S15" s="38">
        <f>IF(L15&lt;&gt;"",SUMPRODUCT(--(P15&gt;$P$4:$P$40))+COUNTIF($P$4:P15,P15),"")</f>
        <v>13</v>
      </c>
      <c r="T15" s="307">
        <f t="shared" si="19"/>
        <v>26</v>
      </c>
      <c r="U15" s="38">
        <f>IF(T15&lt;&gt;"",SUMPRODUCT(--(T15&gt;$T$4:$T$40))+COUNTIF(T$4:$T15,T15),"")</f>
        <v>13</v>
      </c>
      <c r="V15" s="282"/>
      <c r="W15" s="527">
        <f t="shared" si="20"/>
        <v>12</v>
      </c>
      <c r="X15" s="288" t="str">
        <f t="shared" si="31"/>
        <v>S</v>
      </c>
      <c r="Y15" s="289">
        <f t="shared" si="3"/>
        <v>100</v>
      </c>
      <c r="Z15" s="290" t="str">
        <f t="shared" si="4"/>
        <v/>
      </c>
      <c r="AA15" s="313">
        <f t="shared" si="5"/>
        <v>100</v>
      </c>
      <c r="AB15" s="309" t="str">
        <f t="shared" si="21"/>
        <v/>
      </c>
      <c r="AC15" s="290" t="str">
        <f t="shared" si="6"/>
        <v/>
      </c>
      <c r="AD15" s="20" t="str">
        <f t="array" ref="AD15">IF(ROWS($2:13)&lt;=COUNTIF($F$4:$F$40,"M"),INDEX($E$4:$E$40,SMALL(IF($F$4:$F$40="M",MATCH($E$4:$E$40,$E$4:$E$40,0)),ROWS($2:13))),"")</f>
        <v>X</v>
      </c>
      <c r="AE15" s="38" t="str">
        <f t="shared" si="7"/>
        <v>M</v>
      </c>
      <c r="AF15" s="38">
        <f t="shared" si="8"/>
        <v>5.3</v>
      </c>
      <c r="AG15" s="38">
        <f t="shared" si="22"/>
        <v>20.52</v>
      </c>
      <c r="AH15" s="38">
        <f t="shared" si="9"/>
        <v>6.7</v>
      </c>
      <c r="AI15" s="38">
        <f t="shared" si="23"/>
        <v>21.6</v>
      </c>
      <c r="AJ15" s="38">
        <f>IF(AD15&lt;&gt;"",SUMPRODUCT(--(AF15&gt;$AF$4:$AF$40))+COUNTIF($AF$4:AF15,AF15),"")</f>
        <v>6</v>
      </c>
      <c r="AK15" s="38">
        <f>IF(AD15&lt;&gt;"",SUMPRODUCT(--(AH15&gt;$AH$4:$AH$40))+COUNTIF($AH$4:AH15,AH15),"")</f>
        <v>6</v>
      </c>
      <c r="AL15" s="307">
        <f t="shared" si="24"/>
        <v>12</v>
      </c>
      <c r="AM15" s="38">
        <f>IF(AD15&lt;&gt;"",COUNTIFS(AJ:AJ,"&lt;"&amp;AJ15)+COUNTIF($AJ$4:AJ15,AJ15),"")</f>
        <v>6</v>
      </c>
      <c r="AN15" s="282"/>
      <c r="AO15" s="527">
        <f t="shared" si="10"/>
        <v>12</v>
      </c>
      <c r="AP15" s="288" t="str">
        <f t="shared" si="32"/>
        <v>P</v>
      </c>
      <c r="AQ15" s="289">
        <f t="shared" si="11"/>
        <v>100</v>
      </c>
      <c r="AR15" s="314" t="str">
        <f t="shared" si="12"/>
        <v/>
      </c>
      <c r="AS15" s="313">
        <f t="shared" si="13"/>
        <v>100</v>
      </c>
      <c r="AT15" s="309" t="str">
        <f t="shared" si="30"/>
        <v/>
      </c>
      <c r="AU15" s="314" t="str">
        <f t="shared" si="27"/>
        <v/>
      </c>
      <c r="AV15" s="597"/>
      <c r="AW15" s="527">
        <f t="shared" si="28"/>
        <v>12</v>
      </c>
      <c r="AX15" s="288" t="str">
        <f t="shared" si="29"/>
        <v>V</v>
      </c>
      <c r="AY15" s="289">
        <f t="shared" si="25"/>
        <v>5.7</v>
      </c>
      <c r="AZ15" s="315">
        <f t="shared" si="14"/>
        <v>19.079999999999998</v>
      </c>
      <c r="BA15" s="313">
        <f t="shared" si="26"/>
        <v>7.3</v>
      </c>
      <c r="BB15" s="290">
        <f t="shared" si="15"/>
        <v>19.8</v>
      </c>
    </row>
    <row r="16" spans="1:54" ht="24" customHeight="1">
      <c r="A16" s="38">
        <f>IF(E16&lt;&gt;"",SUMPRODUCT(--(G16&gt;$G$4:$G$40))+COUNTIF($G$4:G16,G16),"")</f>
        <v>11</v>
      </c>
      <c r="B16" s="38">
        <f>IF(E16&lt;&gt;"",SUMPRODUCT(--(I16&gt;$I$4:$I$40))+COUNTIF($I$4:I16,I16),"")</f>
        <v>9</v>
      </c>
      <c r="C16" s="38">
        <f t="shared" si="16"/>
        <v>42</v>
      </c>
      <c r="D16" s="38">
        <f>IF(E16&lt;&gt;"",COUNTIFS(A:A,"&lt;"&amp;A16)+COUNTIF($A$4:A16,A16),"")</f>
        <v>11</v>
      </c>
      <c r="E16" s="278" t="str">
        <f>IF(Liste!B15&lt;&gt;"",Liste!B15,"")</f>
        <v>M</v>
      </c>
      <c r="F16" s="279" t="str">
        <f>IF(Liste!C15&lt;&gt;"",Liste!C15,"")</f>
        <v>F</v>
      </c>
      <c r="G16" s="280">
        <f>IF(E16&lt;&gt;"",IF(Perf.Sprint!$AK16&lt;&gt;"",Perf.Sprint!$AK16,100),"")</f>
        <v>5.7</v>
      </c>
      <c r="H16" s="281">
        <f>IF(F16&lt;&gt;"",IF(Perf.Sprint!$AM16&lt;&gt;"",Perf.Sprint!$AM16,100),"")</f>
        <v>19.079999999999998</v>
      </c>
      <c r="I16" s="280">
        <f>IF(E16&lt;&gt;"",IF(Perf.Sprint!$AX16&lt;&gt;"",Perf.Sprint!$AX16,100),"")</f>
        <v>7.3</v>
      </c>
      <c r="J16" s="281">
        <f>IF(H16&lt;&gt;"",IF(Perf.Sprint!$AZ16&lt;&gt;"",Perf.Sprint!$AZ16,100),"")</f>
        <v>19.8</v>
      </c>
      <c r="K16" s="263">
        <v>13</v>
      </c>
      <c r="L16" s="20" t="str">
        <f t="array" ref="L16">IF(ROWS($2:14)&lt;=COUNTIF($F$4:$F$40,"F"),INDEX($E$4:$E$40,SMALL(IF($F$4:$F$40="F",MATCH($E$4:$E$40,$E$4:$E$40,0)),ROWS($2:14))),"")</f>
        <v>Y</v>
      </c>
      <c r="M16" s="38" t="str">
        <f t="shared" si="0"/>
        <v>F</v>
      </c>
      <c r="N16" s="38">
        <f t="shared" si="1"/>
        <v>5.9</v>
      </c>
      <c r="O16" s="38">
        <f t="shared" si="17"/>
        <v>18.36</v>
      </c>
      <c r="P16" s="38">
        <f t="shared" si="2"/>
        <v>7.6</v>
      </c>
      <c r="Q16" s="38">
        <f t="shared" si="18"/>
        <v>19.079999999999998</v>
      </c>
      <c r="R16" s="38">
        <f>IF(L16&lt;&gt;"",SUMPRODUCT(--(N16&gt;$N$4:$N$40))+COUNTIF($N$4:N16,N16),"")</f>
        <v>7</v>
      </c>
      <c r="S16" s="38">
        <f>IF(L16&lt;&gt;"",SUMPRODUCT(--(P16&gt;$P$4:$P$40))+COUNTIF($P$4:P16,P16),"")</f>
        <v>7</v>
      </c>
      <c r="T16" s="307">
        <f t="shared" si="19"/>
        <v>14</v>
      </c>
      <c r="U16" s="38">
        <f>IF(T16&lt;&gt;"",SUMPRODUCT(--(T16&gt;$T$4:$T$40))+COUNTIF(T$4:$T16,T16),"")</f>
        <v>7</v>
      </c>
      <c r="V16" s="282"/>
      <c r="W16" s="527">
        <f t="shared" si="20"/>
        <v>13</v>
      </c>
      <c r="X16" s="291" t="str">
        <f t="shared" si="31"/>
        <v>W</v>
      </c>
      <c r="Y16" s="292">
        <f t="shared" si="3"/>
        <v>100</v>
      </c>
      <c r="Z16" s="285" t="str">
        <f t="shared" si="4"/>
        <v/>
      </c>
      <c r="AA16" s="316">
        <f t="shared" si="5"/>
        <v>100</v>
      </c>
      <c r="AB16" s="309" t="str">
        <f t="shared" si="21"/>
        <v/>
      </c>
      <c r="AC16" s="285" t="str">
        <f t="shared" si="6"/>
        <v/>
      </c>
      <c r="AD16" s="20" t="str">
        <f t="array" ref="AD16">IF(ROWS($2:14)&lt;=COUNTIF($F$4:$F$40,"M"),INDEX($E$4:$E$40,SMALL(IF($F$4:$F$40="M",MATCH($E$4:$E$40,$E$4:$E$40,0)),ROWS($2:14))),"")</f>
        <v/>
      </c>
      <c r="AE16" s="38" t="str">
        <f t="shared" si="7"/>
        <v/>
      </c>
      <c r="AF16" s="38" t="str">
        <f t="shared" si="8"/>
        <v/>
      </c>
      <c r="AG16" s="38" t="str">
        <f t="shared" si="22"/>
        <v/>
      </c>
      <c r="AH16" s="38" t="str">
        <f t="shared" si="9"/>
        <v/>
      </c>
      <c r="AI16" s="38" t="str">
        <f t="shared" si="23"/>
        <v/>
      </c>
      <c r="AJ16" s="38" t="str">
        <f>IF(AD16&lt;&gt;"",SUMPRODUCT(--(AF16&gt;$AF$4:$AF$40))+COUNTIF($AF$4:AF16,AF16),"")</f>
        <v/>
      </c>
      <c r="AK16" s="38" t="str">
        <f>IF(AD16&lt;&gt;"",SUMPRODUCT(--(AH16&gt;$AH$4:$AH$40))+COUNTIF($AH$4:AH16,AH16),"")</f>
        <v/>
      </c>
      <c r="AL16" s="307" t="str">
        <f t="shared" si="24"/>
        <v/>
      </c>
      <c r="AM16" s="38" t="str">
        <f>IF(AD16&lt;&gt;"",COUNTIFS(AJ:AJ,"&lt;"&amp;AJ16)+COUNTIF($AJ$4:AJ16,AJ16),"")</f>
        <v/>
      </c>
      <c r="AN16" s="282"/>
      <c r="AO16" s="527" t="str">
        <f t="shared" si="10"/>
        <v/>
      </c>
      <c r="AP16" s="291" t="str">
        <f t="shared" si="32"/>
        <v/>
      </c>
      <c r="AQ16" s="292" t="str">
        <f t="shared" si="11"/>
        <v/>
      </c>
      <c r="AR16" s="285" t="str">
        <f t="shared" si="12"/>
        <v/>
      </c>
      <c r="AS16" s="316" t="str">
        <f t="shared" si="13"/>
        <v/>
      </c>
      <c r="AT16" s="309" t="str">
        <f t="shared" si="30"/>
        <v/>
      </c>
      <c r="AU16" s="285" t="str">
        <f t="shared" si="27"/>
        <v/>
      </c>
      <c r="AV16" s="597"/>
      <c r="AW16" s="527">
        <f t="shared" si="28"/>
        <v>13</v>
      </c>
      <c r="AX16" s="291" t="str">
        <f t="shared" si="29"/>
        <v>E</v>
      </c>
      <c r="AY16" s="292">
        <f t="shared" si="25"/>
        <v>5.8</v>
      </c>
      <c r="AZ16" s="317">
        <f t="shared" si="14"/>
        <v>18.72</v>
      </c>
      <c r="BA16" s="316">
        <f t="shared" si="26"/>
        <v>7.6</v>
      </c>
      <c r="BB16" s="312">
        <f t="shared" si="15"/>
        <v>19.079999999999998</v>
      </c>
    </row>
    <row r="17" spans="1:54" ht="24" customHeight="1">
      <c r="A17" s="38">
        <f>IF(E17&lt;&gt;"",SUMPRODUCT(--(G17&gt;$G$4:$G$40))+COUNTIF($G$4:G17,G17),"")</f>
        <v>4</v>
      </c>
      <c r="B17" s="38">
        <f>IF(E17&lt;&gt;"",SUMPRODUCT(--(I17&gt;$I$4:$I$40))+COUNTIF($I$4:I17,I17),"")</f>
        <v>4</v>
      </c>
      <c r="C17" s="38">
        <f t="shared" si="16"/>
        <v>16</v>
      </c>
      <c r="D17" s="38">
        <f>IF(E17&lt;&gt;"",COUNTIFS(A:A,"&lt;"&amp;A17)+COUNTIF($A$4:A17,A17),"")</f>
        <v>4</v>
      </c>
      <c r="E17" s="278" t="str">
        <f>IF(Liste!B16&lt;&gt;"",Liste!B16,"")</f>
        <v>N</v>
      </c>
      <c r="F17" s="279" t="str">
        <f>IF(Liste!C16&lt;&gt;"",Liste!C16,"")</f>
        <v>M</v>
      </c>
      <c r="G17" s="280">
        <f>IF(E17&lt;&gt;"",IF(Perf.Sprint!$AK17&lt;&gt;"",Perf.Sprint!$AK17,100),"")</f>
        <v>4.9000000000000004</v>
      </c>
      <c r="H17" s="281">
        <f>IF(F17&lt;&gt;"",IF(Perf.Sprint!$AM17&lt;&gt;"",Perf.Sprint!$AM17,100),"")</f>
        <v>21.96</v>
      </c>
      <c r="I17" s="280">
        <f>IF(E17&lt;&gt;"",IF(Perf.Sprint!$AX17&lt;&gt;"",Perf.Sprint!$AX17,100),"")</f>
        <v>6.2</v>
      </c>
      <c r="J17" s="281">
        <f>IF(H17&lt;&gt;"",IF(Perf.Sprint!$AZ17&lt;&gt;"",Perf.Sprint!$AZ17,100),"")</f>
        <v>23.4</v>
      </c>
      <c r="K17" s="263">
        <v>14</v>
      </c>
      <c r="L17" s="20" t="str">
        <f t="array" ref="L17">IF(ROWS($2:15)&lt;=COUNTIF($F$4:$F$40,"F"),INDEX($E$4:$E$40,SMALL(IF($F$4:$F$40="F",MATCH($E$4:$E$40,$E$4:$E$40,0)),ROWS($2:15))),"")</f>
        <v>Z</v>
      </c>
      <c r="M17" s="38" t="str">
        <f t="shared" si="0"/>
        <v>F</v>
      </c>
      <c r="N17" s="38">
        <f t="shared" si="1"/>
        <v>100</v>
      </c>
      <c r="O17" s="38">
        <f t="shared" si="17"/>
        <v>100</v>
      </c>
      <c r="P17" s="38">
        <f t="shared" si="2"/>
        <v>100</v>
      </c>
      <c r="Q17" s="38">
        <f t="shared" si="18"/>
        <v>100</v>
      </c>
      <c r="R17" s="38">
        <f>IF(L17&lt;&gt;"",SUMPRODUCT(--(N17&gt;$N$4:$N$40))+COUNTIF($N$4:N17,N17),"")</f>
        <v>14</v>
      </c>
      <c r="S17" s="38">
        <f>IF(L17&lt;&gt;"",SUMPRODUCT(--(P17&gt;$P$4:$P$40))+COUNTIF($P$4:P17,P17),"")</f>
        <v>14</v>
      </c>
      <c r="T17" s="307">
        <f t="shared" si="19"/>
        <v>28</v>
      </c>
      <c r="U17" s="38">
        <f>IF(T17&lt;&gt;"",SUMPRODUCT(--(T17&gt;$T$4:$T$40))+COUNTIF(T$4:$T17,T17),"")</f>
        <v>14</v>
      </c>
      <c r="V17" s="282"/>
      <c r="W17" s="527">
        <f t="shared" si="20"/>
        <v>14</v>
      </c>
      <c r="X17" s="288" t="str">
        <f t="shared" si="31"/>
        <v>Z</v>
      </c>
      <c r="Y17" s="293">
        <f t="shared" si="3"/>
        <v>100</v>
      </c>
      <c r="Z17" s="290" t="str">
        <f t="shared" si="4"/>
        <v/>
      </c>
      <c r="AA17" s="289">
        <f t="shared" si="5"/>
        <v>100</v>
      </c>
      <c r="AB17" s="309" t="str">
        <f t="shared" si="21"/>
        <v/>
      </c>
      <c r="AC17" s="290" t="str">
        <f t="shared" si="6"/>
        <v/>
      </c>
      <c r="AD17" s="20" t="str">
        <f t="array" ref="AD17">IF(ROWS($2:15)&lt;=COUNTIF($F$4:$F$40,"M"),INDEX($E$4:$E$40,SMALL(IF($F$4:$F$40="M",MATCH($E$4:$E$40,$E$4:$E$40,0)),ROWS($2:15))),"")</f>
        <v/>
      </c>
      <c r="AE17" s="38" t="str">
        <f t="shared" si="7"/>
        <v/>
      </c>
      <c r="AF17" s="38" t="str">
        <f t="shared" si="8"/>
        <v/>
      </c>
      <c r="AG17" s="38" t="str">
        <f t="shared" si="22"/>
        <v/>
      </c>
      <c r="AH17" s="38" t="str">
        <f t="shared" si="9"/>
        <v/>
      </c>
      <c r="AI17" s="38" t="str">
        <f t="shared" si="23"/>
        <v/>
      </c>
      <c r="AJ17" s="38" t="str">
        <f>IF(AD17&lt;&gt;"",SUMPRODUCT(--(AF17&gt;$AF$4:$AF$40))+COUNTIF($AF$4:AF17,AF17),"")</f>
        <v/>
      </c>
      <c r="AK17" s="38" t="str">
        <f>IF(AD17&lt;&gt;"",SUMPRODUCT(--(AH17&gt;$AH$4:$AH$40))+COUNTIF($AH$4:AH17,AH17),"")</f>
        <v/>
      </c>
      <c r="AL17" s="307" t="str">
        <f t="shared" si="24"/>
        <v/>
      </c>
      <c r="AM17" s="38" t="str">
        <f>IF(AD17&lt;&gt;"",COUNTIFS(AJ:AJ,"&lt;"&amp;AJ17)+COUNTIF($AJ$4:AJ17,AJ17),"")</f>
        <v/>
      </c>
      <c r="AN17" s="282"/>
      <c r="AO17" s="527" t="str">
        <f t="shared" si="10"/>
        <v/>
      </c>
      <c r="AP17" s="288" t="str">
        <f t="shared" si="32"/>
        <v/>
      </c>
      <c r="AQ17" s="289" t="str">
        <f t="shared" si="11"/>
        <v/>
      </c>
      <c r="AR17" s="314" t="str">
        <f t="shared" si="12"/>
        <v/>
      </c>
      <c r="AS17" s="313" t="str">
        <f t="shared" si="13"/>
        <v/>
      </c>
      <c r="AT17" s="309" t="str">
        <f t="shared" si="30"/>
        <v/>
      </c>
      <c r="AU17" s="314" t="str">
        <f t="shared" si="27"/>
        <v/>
      </c>
      <c r="AV17" s="597"/>
      <c r="AW17" s="527">
        <f t="shared" si="28"/>
        <v>14</v>
      </c>
      <c r="AX17" s="288" t="str">
        <f t="shared" si="29"/>
        <v xml:space="preserve">J </v>
      </c>
      <c r="AY17" s="289">
        <f t="shared" si="25"/>
        <v>5.8</v>
      </c>
      <c r="AZ17" s="315">
        <f t="shared" si="14"/>
        <v>18.72</v>
      </c>
      <c r="BA17" s="313">
        <f t="shared" si="26"/>
        <v>7.4</v>
      </c>
      <c r="BB17" s="290">
        <f t="shared" si="15"/>
        <v>19.440000000000001</v>
      </c>
    </row>
    <row r="18" spans="1:54" ht="24" customHeight="1">
      <c r="A18" s="38">
        <f>IF(E18&lt;&gt;"",SUMPRODUCT(--(G18&gt;$G$4:$G$40))+COUNTIF($G$4:G18,G18),"")</f>
        <v>15</v>
      </c>
      <c r="B18" s="38">
        <f>IF(E18&lt;&gt;"",SUMPRODUCT(--(I18&gt;$I$4:$I$40))+COUNTIF($I$4:I18,I18),"")</f>
        <v>15</v>
      </c>
      <c r="C18" s="38">
        <f t="shared" si="16"/>
        <v>60</v>
      </c>
      <c r="D18" s="38">
        <f>IF(E18&lt;&gt;"",COUNTIFS(A:A,"&lt;"&amp;A18)+COUNTIF($A$4:A18,A18),"")</f>
        <v>15</v>
      </c>
      <c r="E18" s="278" t="str">
        <f>IF(Liste!B17&lt;&gt;"",Liste!B17,"")</f>
        <v>O</v>
      </c>
      <c r="F18" s="279" t="str">
        <f>IF(Liste!C17&lt;&gt;"",Liste!C17,"")</f>
        <v>F</v>
      </c>
      <c r="G18" s="280">
        <f>IF(E18&lt;&gt;"",IF(Perf.Sprint!$AK18&lt;&gt;"",Perf.Sprint!$AK18,100),"")</f>
        <v>5.9</v>
      </c>
      <c r="H18" s="281">
        <f>IF(F18&lt;&gt;"",IF(Perf.Sprint!$AM18&lt;&gt;"",Perf.Sprint!$AM18,100),"")</f>
        <v>18.36</v>
      </c>
      <c r="I18" s="280">
        <f>IF(E18&lt;&gt;"",IF(Perf.Sprint!$AX18&lt;&gt;"",Perf.Sprint!$AX18,100),"")</f>
        <v>7.6</v>
      </c>
      <c r="J18" s="281">
        <f>IF(H18&lt;&gt;"",IF(Perf.Sprint!$AZ18&lt;&gt;"",Perf.Sprint!$AZ18,100),"")</f>
        <v>19.079999999999998</v>
      </c>
      <c r="K18" s="263">
        <v>15</v>
      </c>
      <c r="L18" s="20" t="str">
        <f t="array" ref="L18">IF(ROWS($2:16)&lt;=COUNTIF($F$4:$F$40,"F"),INDEX($E$4:$E$40,SMALL(IF($F$4:$F$40="F",MATCH($E$4:$E$40,$E$4:$E$40,0)),ROWS($2:16))),"")</f>
        <v/>
      </c>
      <c r="M18" s="38" t="str">
        <f t="shared" si="0"/>
        <v/>
      </c>
      <c r="N18" s="38" t="str">
        <f t="shared" si="1"/>
        <v/>
      </c>
      <c r="O18" s="38" t="str">
        <f t="shared" si="17"/>
        <v/>
      </c>
      <c r="P18" s="38" t="str">
        <f t="shared" si="2"/>
        <v/>
      </c>
      <c r="Q18" s="38" t="str">
        <f t="shared" si="18"/>
        <v/>
      </c>
      <c r="R18" s="38" t="str">
        <f>IF(L18&lt;&gt;"",SUMPRODUCT(--(N18&gt;$N$4:$N$40))+COUNTIF($N$4:N18,N18),"")</f>
        <v/>
      </c>
      <c r="S18" s="38" t="str">
        <f>IF(L18&lt;&gt;"",SUMPRODUCT(--(P18&gt;$P$4:$P$40))+COUNTIF($P$4:P18,P18),"")</f>
        <v/>
      </c>
      <c r="T18" s="307" t="str">
        <f t="shared" si="19"/>
        <v/>
      </c>
      <c r="U18" s="38" t="str">
        <f>IF(T18&lt;&gt;"",SUMPRODUCT(--(T18&gt;$T$4:$T$40))+COUNTIF(T$4:$T18,T18),"")</f>
        <v/>
      </c>
      <c r="V18" s="282"/>
      <c r="W18" s="527" t="str">
        <f t="shared" si="20"/>
        <v/>
      </c>
      <c r="X18" s="291" t="str">
        <f t="shared" si="31"/>
        <v/>
      </c>
      <c r="Y18" s="292" t="str">
        <f t="shared" si="3"/>
        <v/>
      </c>
      <c r="Z18" s="285" t="str">
        <f t="shared" si="4"/>
        <v/>
      </c>
      <c r="AA18" s="316" t="str">
        <f t="shared" si="5"/>
        <v/>
      </c>
      <c r="AB18" s="309" t="str">
        <f t="shared" si="21"/>
        <v/>
      </c>
      <c r="AC18" s="285" t="str">
        <f t="shared" si="6"/>
        <v/>
      </c>
      <c r="AD18" s="20" t="str">
        <f t="array" ref="AD18">IF(ROWS($2:16)&lt;=COUNTIF($F$4:$F$40,"M"),INDEX($E$4:$E$40,SMALL(IF($F$4:$F$40="M",MATCH($E$4:$E$40,$E$4:$E$40,0)),ROWS($2:16))),"")</f>
        <v/>
      </c>
      <c r="AE18" s="38" t="str">
        <f t="shared" si="7"/>
        <v/>
      </c>
      <c r="AF18" s="38" t="str">
        <f t="shared" si="8"/>
        <v/>
      </c>
      <c r="AG18" s="38" t="str">
        <f t="shared" si="22"/>
        <v/>
      </c>
      <c r="AH18" s="38" t="str">
        <f t="shared" si="9"/>
        <v/>
      </c>
      <c r="AI18" s="38" t="str">
        <f t="shared" si="23"/>
        <v/>
      </c>
      <c r="AJ18" s="38" t="str">
        <f>IF(AD18&lt;&gt;"",SUMPRODUCT(--(AF18&gt;$AF$4:$AF$40))+COUNTIF($AF$4:AF18,AF18),"")</f>
        <v/>
      </c>
      <c r="AK18" s="38" t="str">
        <f>IF(AD18&lt;&gt;"",SUMPRODUCT(--(AH18&gt;$AH$4:$AH$40))+COUNTIF($AH$4:AH18,AH18),"")</f>
        <v/>
      </c>
      <c r="AL18" s="307" t="str">
        <f t="shared" si="24"/>
        <v/>
      </c>
      <c r="AM18" s="38" t="str">
        <f>IF(AD18&lt;&gt;"",COUNTIFS(AJ:AJ,"&lt;"&amp;AJ18)+COUNTIF($AJ$4:AJ18,AJ18),"")</f>
        <v/>
      </c>
      <c r="AN18" s="282"/>
      <c r="AO18" s="527" t="str">
        <f t="shared" si="10"/>
        <v/>
      </c>
      <c r="AP18" s="291" t="str">
        <f t="shared" si="32"/>
        <v/>
      </c>
      <c r="AQ18" s="292" t="str">
        <f t="shared" si="11"/>
        <v/>
      </c>
      <c r="AR18" s="285" t="str">
        <f>IF(AQ18=100,"",INDEX($AG$4:$AG$40,MATCH($AP18,$AD$4:$AD$40,0)))</f>
        <v/>
      </c>
      <c r="AS18" s="316" t="str">
        <f t="shared" si="13"/>
        <v/>
      </c>
      <c r="AT18" s="309" t="str">
        <f t="shared" si="30"/>
        <v/>
      </c>
      <c r="AU18" s="285" t="str">
        <f t="shared" si="27"/>
        <v/>
      </c>
      <c r="AV18" s="597"/>
      <c r="AW18" s="527">
        <f t="shared" si="28"/>
        <v>15</v>
      </c>
      <c r="AX18" s="291" t="str">
        <f t="shared" si="29"/>
        <v>O</v>
      </c>
      <c r="AY18" s="292">
        <f t="shared" si="25"/>
        <v>5.9</v>
      </c>
      <c r="AZ18" s="317">
        <f t="shared" si="14"/>
        <v>18.36</v>
      </c>
      <c r="BA18" s="316">
        <f t="shared" si="26"/>
        <v>7.6</v>
      </c>
      <c r="BB18" s="285">
        <f t="shared" si="15"/>
        <v>19.079999999999998</v>
      </c>
    </row>
    <row r="19" spans="1:54" ht="24" customHeight="1">
      <c r="A19" s="38">
        <f>IF(E19&lt;&gt;"",SUMPRODUCT(--(G19&gt;$G$4:$G$40))+COUNTIF($G$4:G19,G19),"")</f>
        <v>23</v>
      </c>
      <c r="B19" s="38">
        <f>IF(E19&lt;&gt;"",SUMPRODUCT(--(I19&gt;$I$4:$I$40))+COUNTIF($I$4:I19,I19),"")</f>
        <v>23</v>
      </c>
      <c r="C19" s="38">
        <f t="shared" si="16"/>
        <v>92</v>
      </c>
      <c r="D19" s="38">
        <f>IF(E19&lt;&gt;"",COUNTIFS(A:A,"&lt;"&amp;A19)+COUNTIF($A$4:A19,A19),"")</f>
        <v>23</v>
      </c>
      <c r="E19" s="278" t="str">
        <f>IF(Liste!B18&lt;&gt;"",Liste!B18,"")</f>
        <v>P</v>
      </c>
      <c r="F19" s="279" t="str">
        <f>IF(Liste!C18&lt;&gt;"",Liste!C18,"")</f>
        <v>M</v>
      </c>
      <c r="G19" s="280">
        <f>IF(E19&lt;&gt;"",IF(Perf.Sprint!$AK19&lt;&gt;"",Perf.Sprint!$AK19,100),"")</f>
        <v>100</v>
      </c>
      <c r="H19" s="281">
        <f>IF(F19&lt;&gt;"",IF(Perf.Sprint!$AM19&lt;&gt;"",Perf.Sprint!$AM19,100),"")</f>
        <v>100</v>
      </c>
      <c r="I19" s="280">
        <f>IF(E19&lt;&gt;"",IF(Perf.Sprint!$AX19&lt;&gt;"",Perf.Sprint!$AX19,100),"")</f>
        <v>100</v>
      </c>
      <c r="J19" s="281">
        <f>IF(H19&lt;&gt;"",IF(Perf.Sprint!$AZ19&lt;&gt;"",Perf.Sprint!$AZ19,100),"")</f>
        <v>100</v>
      </c>
      <c r="K19" s="263">
        <v>16</v>
      </c>
      <c r="L19" s="20" t="str">
        <f t="array" ref="L19">IF(ROWS($2:17)&lt;=COUNTIF($F$4:$F$40,"F"),INDEX($E$4:$E$40,SMALL(IF($F$4:$F$40="F",MATCH($E$4:$E$40,$E$4:$E$40,0)),ROWS($2:17))),"")</f>
        <v/>
      </c>
      <c r="M19" s="38" t="str">
        <f t="shared" si="0"/>
        <v/>
      </c>
      <c r="N19" s="38" t="str">
        <f t="shared" si="1"/>
        <v/>
      </c>
      <c r="O19" s="38" t="str">
        <f t="shared" si="17"/>
        <v/>
      </c>
      <c r="P19" s="38" t="str">
        <f t="shared" si="2"/>
        <v/>
      </c>
      <c r="Q19" s="38" t="str">
        <f t="shared" si="18"/>
        <v/>
      </c>
      <c r="R19" s="38" t="str">
        <f>IF(L19&lt;&gt;"",SUMPRODUCT(--(N19&gt;$N$4:$N$40))+COUNTIF($N$4:N19,N19),"")</f>
        <v/>
      </c>
      <c r="S19" s="38" t="str">
        <f>IF(L19&lt;&gt;"",SUMPRODUCT(--(P19&gt;$P$4:$P$40))+COUNTIF($P$4:P19,P19),"")</f>
        <v/>
      </c>
      <c r="T19" s="307" t="str">
        <f t="shared" si="19"/>
        <v/>
      </c>
      <c r="U19" s="38" t="str">
        <f>IF(T19&lt;&gt;"",SUMPRODUCT(--(T19&gt;$T$4:$T$40))+COUNTIF(T$4:$T19,T19),"")</f>
        <v/>
      </c>
      <c r="V19" s="282"/>
      <c r="W19" s="527" t="str">
        <f t="shared" si="20"/>
        <v/>
      </c>
      <c r="X19" s="288" t="str">
        <f t="shared" si="31"/>
        <v/>
      </c>
      <c r="Y19" s="289" t="str">
        <f t="shared" si="3"/>
        <v/>
      </c>
      <c r="Z19" s="290" t="str">
        <f t="shared" si="4"/>
        <v/>
      </c>
      <c r="AA19" s="313" t="str">
        <f t="shared" si="5"/>
        <v/>
      </c>
      <c r="AB19" s="309" t="str">
        <f t="shared" si="21"/>
        <v/>
      </c>
      <c r="AC19" s="290" t="str">
        <f>IF(AA19=100,"",INDEX($Q$4:$Q$40,MATCH($X19,$L$4:$L$40,0)))</f>
        <v/>
      </c>
      <c r="AD19" s="20" t="str">
        <f t="array" ref="AD19">IF(ROWS($2:17)&lt;=COUNTIF($F$4:$F$40,"M"),INDEX($E$4:$E$40,SMALL(IF($F$4:$F$40="M",MATCH($E$4:$E$40,$E$4:$E$40,0)),ROWS($2:17))),"")</f>
        <v/>
      </c>
      <c r="AE19" s="38" t="str">
        <f t="shared" si="7"/>
        <v/>
      </c>
      <c r="AF19" s="38" t="str">
        <f t="shared" si="8"/>
        <v/>
      </c>
      <c r="AG19" s="38" t="str">
        <f t="shared" si="22"/>
        <v/>
      </c>
      <c r="AH19" s="38" t="str">
        <f t="shared" si="9"/>
        <v/>
      </c>
      <c r="AI19" s="38" t="str">
        <f t="shared" si="23"/>
        <v/>
      </c>
      <c r="AJ19" s="38" t="str">
        <f>IF(AD19&lt;&gt;"",SUMPRODUCT(--(AF19&gt;$AF$4:$AF$40))+COUNTIF($AF$4:AF19,AF19),"")</f>
        <v/>
      </c>
      <c r="AK19" s="38" t="str">
        <f>IF(AD19&lt;&gt;"",SUMPRODUCT(--(AH19&gt;$AH$4:$AH$40))+COUNTIF($AH$4:AH19,AH19),"")</f>
        <v/>
      </c>
      <c r="AL19" s="307" t="str">
        <f t="shared" si="24"/>
        <v/>
      </c>
      <c r="AM19" s="38" t="str">
        <f>IF(AD19&lt;&gt;"",COUNTIFS(AJ:AJ,"&lt;"&amp;AJ19)+COUNTIF($AJ$4:AJ19,AJ19),"")</f>
        <v/>
      </c>
      <c r="AN19" s="282"/>
      <c r="AO19" s="527" t="str">
        <f t="shared" si="10"/>
        <v/>
      </c>
      <c r="AP19" s="288" t="str">
        <f t="shared" si="32"/>
        <v/>
      </c>
      <c r="AQ19" s="289" t="str">
        <f t="shared" si="11"/>
        <v/>
      </c>
      <c r="AR19" s="314" t="str">
        <f t="shared" ref="AR19:AR40" si="33">IF(AQ19=100,"",INDEX($AG$4:$AG$40,MATCH($AP19,$AD$4:$AD$40,0)))</f>
        <v/>
      </c>
      <c r="AS19" s="313" t="str">
        <f t="shared" si="13"/>
        <v/>
      </c>
      <c r="AT19" s="309" t="str">
        <f t="shared" si="30"/>
        <v/>
      </c>
      <c r="AU19" s="314" t="str">
        <f t="shared" si="27"/>
        <v/>
      </c>
      <c r="AV19" s="597"/>
      <c r="AW19" s="527">
        <f t="shared" si="28"/>
        <v>16</v>
      </c>
      <c r="AX19" s="288" t="str">
        <f t="shared" si="29"/>
        <v>Y</v>
      </c>
      <c r="AY19" s="289">
        <f t="shared" si="25"/>
        <v>5.9</v>
      </c>
      <c r="AZ19" s="315">
        <f t="shared" si="14"/>
        <v>18.36</v>
      </c>
      <c r="BA19" s="313">
        <f t="shared" si="26"/>
        <v>7.6</v>
      </c>
      <c r="BB19" s="290">
        <f t="shared" si="15"/>
        <v>19.079999999999998</v>
      </c>
    </row>
    <row r="20" spans="1:54" ht="24" customHeight="1">
      <c r="A20" s="38">
        <f>IF(E20&lt;&gt;"",SUMPRODUCT(--(G20&gt;$G$4:$G$40))+COUNTIF($G$4:G20,G20),"")</f>
        <v>7</v>
      </c>
      <c r="B20" s="38">
        <f>IF(E20&lt;&gt;"",SUMPRODUCT(--(I20&gt;$I$4:$I$40))+COUNTIF($I$4:I20,I20),"")</f>
        <v>7</v>
      </c>
      <c r="C20" s="38">
        <f t="shared" si="16"/>
        <v>28</v>
      </c>
      <c r="D20" s="38">
        <f>IF(E20&lt;&gt;"",COUNTIFS(A:A,"&lt;"&amp;A20)+COUNTIF($A$4:A20,A20),"")</f>
        <v>7</v>
      </c>
      <c r="E20" s="278" t="str">
        <f>IF(Liste!B19&lt;&gt;"",Liste!B19,"")</f>
        <v>Q</v>
      </c>
      <c r="F20" s="279" t="str">
        <f>IF(Liste!C19&lt;&gt;"",Liste!C19,"")</f>
        <v>F</v>
      </c>
      <c r="G20" s="280">
        <f>IF(E20&lt;&gt;"",IF(Perf.Sprint!$AK20&lt;&gt;"",Perf.Sprint!$AK20,100),"")</f>
        <v>5.4</v>
      </c>
      <c r="H20" s="281">
        <f>IF(F20&lt;&gt;"",IF(Perf.Sprint!$AM20&lt;&gt;"",Perf.Sprint!$AM20,100),"")</f>
        <v>20.16</v>
      </c>
      <c r="I20" s="280">
        <f>IF(E20&lt;&gt;"",IF(Perf.Sprint!$AX20&lt;&gt;"",Perf.Sprint!$AX20,100),"")</f>
        <v>6.9</v>
      </c>
      <c r="J20" s="281">
        <f>IF(H20&lt;&gt;"",IF(Perf.Sprint!$AZ20&lt;&gt;"",Perf.Sprint!$AZ20,100),"")</f>
        <v>20.88</v>
      </c>
      <c r="K20" s="263">
        <v>17</v>
      </c>
      <c r="L20" s="20" t="str">
        <f t="array" ref="L20">IF(ROWS($2:18)&lt;=COUNTIF($F$4:$F$40,"F"),INDEX($E$4:$E$40,SMALL(IF($F$4:$F$40="F",MATCH($E$4:$E$40,$E$4:$E$40,0)),ROWS($2:18))),"")</f>
        <v/>
      </c>
      <c r="M20" s="38" t="str">
        <f t="shared" si="0"/>
        <v/>
      </c>
      <c r="N20" s="38" t="str">
        <f t="shared" si="1"/>
        <v/>
      </c>
      <c r="O20" s="38" t="str">
        <f t="shared" si="17"/>
        <v/>
      </c>
      <c r="P20" s="38" t="str">
        <f t="shared" si="2"/>
        <v/>
      </c>
      <c r="Q20" s="38" t="str">
        <f t="shared" si="18"/>
        <v/>
      </c>
      <c r="R20" s="38" t="str">
        <f>IF(L20&lt;&gt;"",SUMPRODUCT(--(N20&gt;$N$4:$N$40))+COUNTIF($N$4:N20,N20),"")</f>
        <v/>
      </c>
      <c r="S20" s="38" t="str">
        <f>IF(L20&lt;&gt;"",SUMPRODUCT(--(P20&gt;$P$4:$P$40))+COUNTIF($P$4:P20,P20),"")</f>
        <v/>
      </c>
      <c r="T20" s="307" t="str">
        <f t="shared" si="19"/>
        <v/>
      </c>
      <c r="U20" s="38" t="str">
        <f>IF(T20&lt;&gt;"",SUMPRODUCT(--(T20&gt;$T$4:$T$40))+COUNTIF(T$4:$T20,T20),"")</f>
        <v/>
      </c>
      <c r="V20" s="282"/>
      <c r="W20" s="527" t="str">
        <f t="shared" si="20"/>
        <v/>
      </c>
      <c r="X20" s="291" t="str">
        <f t="shared" si="31"/>
        <v/>
      </c>
      <c r="Y20" s="292" t="str">
        <f t="shared" si="3"/>
        <v/>
      </c>
      <c r="Z20" s="285" t="str">
        <f t="shared" si="4"/>
        <v/>
      </c>
      <c r="AA20" s="316" t="str">
        <f t="shared" si="5"/>
        <v/>
      </c>
      <c r="AB20" s="309" t="str">
        <f t="shared" si="21"/>
        <v/>
      </c>
      <c r="AC20" s="285" t="str">
        <f>IF(AA20=100,"",INDEX($Q$4:$Q$40,MATCH($X20,$L$4:$L$40,0)))</f>
        <v/>
      </c>
      <c r="AD20" s="20" t="str">
        <f t="array" ref="AD20">IF(ROWS($2:18)&lt;=COUNTIF($F$4:$F$40,"M"),INDEX($E$4:$E$40,SMALL(IF($F$4:$F$40="M",MATCH($E$4:$E$40,$E$4:$E$40,0)),ROWS($2:18))),"")</f>
        <v/>
      </c>
      <c r="AE20" s="38" t="str">
        <f t="shared" si="7"/>
        <v/>
      </c>
      <c r="AF20" s="38" t="str">
        <f t="shared" si="8"/>
        <v/>
      </c>
      <c r="AG20" s="38" t="str">
        <f t="shared" si="22"/>
        <v/>
      </c>
      <c r="AH20" s="38" t="str">
        <f t="shared" si="9"/>
        <v/>
      </c>
      <c r="AI20" s="38" t="str">
        <f t="shared" si="23"/>
        <v/>
      </c>
      <c r="AJ20" s="38" t="str">
        <f>IF(AD20&lt;&gt;"",SUMPRODUCT(--(AF20&gt;$AF$4:$AF$40))+COUNTIF($AF$4:AF20,AF20),"")</f>
        <v/>
      </c>
      <c r="AK20" s="38" t="str">
        <f>IF(AD20&lt;&gt;"",SUMPRODUCT(--(AH20&gt;$AH$4:$AH$40))+COUNTIF($AH$4:AH20,AH20),"")</f>
        <v/>
      </c>
      <c r="AL20" s="307" t="str">
        <f t="shared" si="24"/>
        <v/>
      </c>
      <c r="AM20" s="38" t="str">
        <f>IF(AD20&lt;&gt;"",COUNTIFS(AJ:AJ,"&lt;"&amp;AJ20)+COUNTIF($AJ$4:AJ20,AJ20),"")</f>
        <v/>
      </c>
      <c r="AN20" s="282"/>
      <c r="AO20" s="527" t="str">
        <f t="shared" si="10"/>
        <v/>
      </c>
      <c r="AP20" s="291" t="str">
        <f t="shared" si="32"/>
        <v/>
      </c>
      <c r="AQ20" s="292" t="str">
        <f t="shared" si="11"/>
        <v/>
      </c>
      <c r="AR20" s="285" t="str">
        <f t="shared" si="33"/>
        <v/>
      </c>
      <c r="AS20" s="316" t="str">
        <f t="shared" si="13"/>
        <v/>
      </c>
      <c r="AT20" s="309" t="str">
        <f t="shared" si="30"/>
        <v/>
      </c>
      <c r="AU20" s="285" t="str">
        <f t="shared" si="27"/>
        <v/>
      </c>
      <c r="AV20" s="597"/>
      <c r="AW20" s="527">
        <f t="shared" si="28"/>
        <v>17</v>
      </c>
      <c r="AX20" s="291" t="str">
        <f t="shared" si="29"/>
        <v>F</v>
      </c>
      <c r="AY20" s="292">
        <f t="shared" si="25"/>
        <v>6.1</v>
      </c>
      <c r="AZ20" s="317">
        <f t="shared" si="14"/>
        <v>17.64</v>
      </c>
      <c r="BA20" s="316">
        <f t="shared" si="26"/>
        <v>7.8</v>
      </c>
      <c r="BB20" s="285">
        <f t="shared" si="15"/>
        <v>18.36</v>
      </c>
    </row>
    <row r="21" spans="1:54" ht="24" customHeight="1">
      <c r="A21" s="38">
        <f>IF(E21&lt;&gt;"",SUMPRODUCT(--(G21&gt;$G$4:$G$40))+COUNTIF($G$4:G21,G21),"")</f>
        <v>8</v>
      </c>
      <c r="B21" s="38">
        <f>IF(E21&lt;&gt;"",SUMPRODUCT(--(I21&gt;$I$4:$I$40))+COUNTIF($I$4:I21,I21),"")</f>
        <v>8</v>
      </c>
      <c r="C21" s="38">
        <f t="shared" si="16"/>
        <v>32</v>
      </c>
      <c r="D21" s="38">
        <f>IF(E21&lt;&gt;"",COUNTIFS(A:A,"&lt;"&amp;A21)+COUNTIF($A$4:A21,A21),"")</f>
        <v>8</v>
      </c>
      <c r="E21" s="278" t="str">
        <f>IF(Liste!B20&lt;&gt;"",Liste!B20,"")</f>
        <v>R</v>
      </c>
      <c r="F21" s="279" t="str">
        <f>IF(Liste!C20&lt;&gt;"",Liste!C20,"")</f>
        <v>F</v>
      </c>
      <c r="G21" s="280">
        <f>IF(E21&lt;&gt;"",IF(Perf.Sprint!$AK21&lt;&gt;"",Perf.Sprint!$AK21,100),"")</f>
        <v>5.4</v>
      </c>
      <c r="H21" s="281">
        <f>IF(F21&lt;&gt;"",IF(Perf.Sprint!$AM21&lt;&gt;"",Perf.Sprint!$AM21,100),"")</f>
        <v>20.16</v>
      </c>
      <c r="I21" s="280">
        <f>IF(E21&lt;&gt;"",IF(Perf.Sprint!$AX21&lt;&gt;"",Perf.Sprint!$AX21,100),"")</f>
        <v>6.9</v>
      </c>
      <c r="J21" s="281">
        <f>IF(H21&lt;&gt;"",IF(Perf.Sprint!$AZ21&lt;&gt;"",Perf.Sprint!$AZ21,100),"")</f>
        <v>20.88</v>
      </c>
      <c r="K21" s="263">
        <v>18</v>
      </c>
      <c r="L21" s="20" t="str">
        <f t="array" ref="L21">IF(ROWS($2:19)&lt;=COUNTIF($F$4:$F$40,"F"),INDEX($E$4:$E$40,SMALL(IF($F$4:$F$40="F",MATCH($E$4:$E$40,$E$4:$E$40,0)),ROWS($2:19))),"")</f>
        <v/>
      </c>
      <c r="M21" s="38" t="str">
        <f t="shared" si="0"/>
        <v/>
      </c>
      <c r="N21" s="38" t="str">
        <f t="shared" si="1"/>
        <v/>
      </c>
      <c r="O21" s="38" t="str">
        <f t="shared" si="17"/>
        <v/>
      </c>
      <c r="P21" s="38" t="str">
        <f t="shared" si="2"/>
        <v/>
      </c>
      <c r="Q21" s="38" t="str">
        <f t="shared" si="18"/>
        <v/>
      </c>
      <c r="R21" s="38" t="str">
        <f>IF(L21&lt;&gt;"",SUMPRODUCT(--(N21&gt;$N$4:$N$40))+COUNTIF($N$4:N21,N21),"")</f>
        <v/>
      </c>
      <c r="S21" s="38" t="str">
        <f>IF(L21&lt;&gt;"",SUMPRODUCT(--(P21&gt;$P$4:$P$40))+COUNTIF($P$4:P21,P21),"")</f>
        <v/>
      </c>
      <c r="T21" s="307" t="str">
        <f t="shared" si="19"/>
        <v/>
      </c>
      <c r="U21" s="38" t="str">
        <f>IF(T21&lt;&gt;"",SUMPRODUCT(--(T21&gt;$T$4:$T$40))+COUNTIF(T$4:$T21,T21),"")</f>
        <v/>
      </c>
      <c r="V21" s="282"/>
      <c r="W21" s="527" t="str">
        <f t="shared" si="20"/>
        <v/>
      </c>
      <c r="X21" s="288" t="str">
        <f t="shared" si="31"/>
        <v/>
      </c>
      <c r="Y21" s="289" t="str">
        <f t="shared" si="3"/>
        <v/>
      </c>
      <c r="Z21" s="290" t="str">
        <f t="shared" si="4"/>
        <v/>
      </c>
      <c r="AA21" s="313" t="str">
        <f t="shared" si="5"/>
        <v/>
      </c>
      <c r="AB21" s="309" t="str">
        <f t="shared" si="21"/>
        <v/>
      </c>
      <c r="AC21" s="290" t="str">
        <f t="shared" ref="AC21:AC40" si="34">IF(AA21=100,"",INDEX($Q$4:$Q$40,MATCH($X21,$L$4:$L$40,0)))</f>
        <v/>
      </c>
      <c r="AD21" s="20" t="str">
        <f t="array" ref="AD21">IF(ROWS($2:19)&lt;=COUNTIF($F$4:$F$40,"M"),INDEX($E$4:$E$40,SMALL(IF($F$4:$F$40="M",MATCH($E$4:$E$40,$E$4:$E$40,0)),ROWS($2:19))),"")</f>
        <v/>
      </c>
      <c r="AE21" s="38" t="str">
        <f t="shared" si="7"/>
        <v/>
      </c>
      <c r="AF21" s="38" t="str">
        <f t="shared" si="8"/>
        <v/>
      </c>
      <c r="AG21" s="38" t="str">
        <f t="shared" si="22"/>
        <v/>
      </c>
      <c r="AH21" s="38" t="str">
        <f t="shared" si="9"/>
        <v/>
      </c>
      <c r="AI21" s="38" t="str">
        <f t="shared" si="23"/>
        <v/>
      </c>
      <c r="AJ21" s="38" t="str">
        <f>IF(AD21&lt;&gt;"",SUMPRODUCT(--(AF21&gt;$AF$4:$AF$40))+COUNTIF($AF$4:AF21,AF21),"")</f>
        <v/>
      </c>
      <c r="AK21" s="38" t="str">
        <f>IF(AD21&lt;&gt;"",SUMPRODUCT(--(AH21&gt;$AH$4:$AH$40))+COUNTIF($AH$4:AH21,AH21),"")</f>
        <v/>
      </c>
      <c r="AL21" s="307" t="str">
        <f t="shared" si="24"/>
        <v/>
      </c>
      <c r="AM21" s="38" t="str">
        <f>IF(AD21&lt;&gt;"",COUNTIFS(AJ:AJ,"&lt;"&amp;AJ21)+COUNTIF($AJ$4:AJ21,AJ21),"")</f>
        <v/>
      </c>
      <c r="AN21" s="282"/>
      <c r="AO21" s="527" t="str">
        <f t="shared" si="10"/>
        <v/>
      </c>
      <c r="AP21" s="288" t="str">
        <f t="shared" si="32"/>
        <v/>
      </c>
      <c r="AQ21" s="289" t="str">
        <f t="shared" si="11"/>
        <v/>
      </c>
      <c r="AR21" s="314" t="str">
        <f t="shared" si="33"/>
        <v/>
      </c>
      <c r="AS21" s="313" t="str">
        <f t="shared" si="13"/>
        <v/>
      </c>
      <c r="AT21" s="309" t="str">
        <f t="shared" si="30"/>
        <v/>
      </c>
      <c r="AU21" s="314" t="str">
        <f t="shared" si="27"/>
        <v/>
      </c>
      <c r="AV21" s="597"/>
      <c r="AW21" s="527">
        <f t="shared" si="28"/>
        <v>18</v>
      </c>
      <c r="AX21" s="288" t="str">
        <f t="shared" si="29"/>
        <v>U</v>
      </c>
      <c r="AY21" s="289">
        <f t="shared" si="25"/>
        <v>6.3</v>
      </c>
      <c r="AZ21" s="315">
        <f t="shared" si="14"/>
        <v>17.28</v>
      </c>
      <c r="BA21" s="313">
        <f t="shared" si="26"/>
        <v>8.3000000000000007</v>
      </c>
      <c r="BB21" s="290">
        <f t="shared" si="15"/>
        <v>17.28</v>
      </c>
    </row>
    <row r="22" spans="1:54" ht="24" customHeight="1">
      <c r="A22" s="38">
        <f>IF(E22&lt;&gt;"",SUMPRODUCT(--(G22&gt;$G$4:$G$40))+COUNTIF($G$4:G22,G22),"")</f>
        <v>24</v>
      </c>
      <c r="B22" s="38">
        <f>IF(E22&lt;&gt;"",SUMPRODUCT(--(I22&gt;$I$4:$I$40))+COUNTIF($I$4:I22,I22),"")</f>
        <v>24</v>
      </c>
      <c r="C22" s="38">
        <f t="shared" si="16"/>
        <v>96</v>
      </c>
      <c r="D22" s="38">
        <f>IF(E22&lt;&gt;"",COUNTIFS(A:A,"&lt;"&amp;A22)+COUNTIF($A$4:A22,A22),"")</f>
        <v>24</v>
      </c>
      <c r="E22" s="278" t="str">
        <f>IF(Liste!B21&lt;&gt;"",Liste!B21,"")</f>
        <v>S</v>
      </c>
      <c r="F22" s="279" t="str">
        <f>IF(Liste!C21&lt;&gt;"",Liste!C21,"")</f>
        <v>F</v>
      </c>
      <c r="G22" s="280">
        <f>IF(E22&lt;&gt;"",IF(Perf.Sprint!$AK22&lt;&gt;"",Perf.Sprint!$AK22,100),"")</f>
        <v>100</v>
      </c>
      <c r="H22" s="281">
        <f>IF(F22&lt;&gt;"",IF(Perf.Sprint!$AM22&lt;&gt;"",Perf.Sprint!$AM22,100),"")</f>
        <v>100</v>
      </c>
      <c r="I22" s="280">
        <f>IF(E22&lt;&gt;"",IF(Perf.Sprint!$AX22&lt;&gt;"",Perf.Sprint!$AX22,100),"")</f>
        <v>100</v>
      </c>
      <c r="J22" s="281">
        <f>IF(H22&lt;&gt;"",IF(Perf.Sprint!$AZ22&lt;&gt;"",Perf.Sprint!$AZ22,100),"")</f>
        <v>100</v>
      </c>
      <c r="K22" s="263">
        <v>19</v>
      </c>
      <c r="L22" s="20" t="str">
        <f t="array" ref="L22">IF(ROWS($2:20)&lt;=COUNTIF($F$4:$F$40,"F"),INDEX($E$4:$E$40,SMALL(IF($F$4:$F$40="F",MATCH($E$4:$E$40,$E$4:$E$40,0)),ROWS($2:20))),"")</f>
        <v/>
      </c>
      <c r="M22" s="38" t="str">
        <f t="shared" si="0"/>
        <v/>
      </c>
      <c r="N22" s="38" t="str">
        <f t="shared" si="1"/>
        <v/>
      </c>
      <c r="O22" s="38" t="str">
        <f t="shared" si="17"/>
        <v/>
      </c>
      <c r="P22" s="38" t="str">
        <f t="shared" si="2"/>
        <v/>
      </c>
      <c r="Q22" s="38" t="str">
        <f t="shared" si="18"/>
        <v/>
      </c>
      <c r="R22" s="38" t="str">
        <f>IF(L22&lt;&gt;"",SUMPRODUCT(--(N22&gt;$N$4:$N$40))+COUNTIF($N$4:N22,N22),"")</f>
        <v/>
      </c>
      <c r="S22" s="38" t="str">
        <f>IF(L22&lt;&gt;"",SUMPRODUCT(--(P22&gt;$P$4:$P$40))+COUNTIF($P$4:P22,P22),"")</f>
        <v/>
      </c>
      <c r="T22" s="307" t="str">
        <f t="shared" si="19"/>
        <v/>
      </c>
      <c r="U22" s="38" t="str">
        <f>IF(T22&lt;&gt;"",SUMPRODUCT(--(T22&gt;$T$4:$T$40))+COUNTIF(T$4:$T22,T22),"")</f>
        <v/>
      </c>
      <c r="V22" s="282"/>
      <c r="W22" s="527" t="str">
        <f t="shared" si="20"/>
        <v/>
      </c>
      <c r="X22" s="291" t="str">
        <f t="shared" si="31"/>
        <v/>
      </c>
      <c r="Y22" s="292" t="str">
        <f t="shared" si="3"/>
        <v/>
      </c>
      <c r="Z22" s="285" t="str">
        <f t="shared" si="4"/>
        <v/>
      </c>
      <c r="AA22" s="316" t="str">
        <f t="shared" si="5"/>
        <v/>
      </c>
      <c r="AB22" s="309" t="str">
        <f t="shared" si="21"/>
        <v/>
      </c>
      <c r="AC22" s="285" t="str">
        <f t="shared" si="34"/>
        <v/>
      </c>
      <c r="AD22" s="20" t="str">
        <f t="array" ref="AD22">IF(ROWS($2:20)&lt;=COUNTIF($F$4:$F$40,"M"),INDEX($E$4:$E$40,SMALL(IF($F$4:$F$40="M",MATCH($E$4:$E$40,$E$4:$E$40,0)),ROWS($2:20))),"")</f>
        <v/>
      </c>
      <c r="AE22" s="38" t="str">
        <f>INDEX($F$4:$F$40,MATCH($AD22,$E$4:$E$40,0))</f>
        <v/>
      </c>
      <c r="AF22" s="38" t="str">
        <f t="shared" si="8"/>
        <v/>
      </c>
      <c r="AG22" s="38" t="str">
        <f t="shared" si="22"/>
        <v/>
      </c>
      <c r="AH22" s="38" t="str">
        <f t="shared" si="9"/>
        <v/>
      </c>
      <c r="AI22" s="38" t="str">
        <f t="shared" si="23"/>
        <v/>
      </c>
      <c r="AJ22" s="38" t="str">
        <f>IF(AD22&lt;&gt;"",SUMPRODUCT(--(AF22&gt;$AF$4:$AF$40))+COUNTIF($AF$4:AF22,AF22),"")</f>
        <v/>
      </c>
      <c r="AK22" s="38" t="str">
        <f>IF(AD22&lt;&gt;"",SUMPRODUCT(--(AH22&gt;$AH$4:$AH$40))+COUNTIF($AH$4:AH22,AH22),"")</f>
        <v/>
      </c>
      <c r="AL22" s="307" t="str">
        <f t="shared" si="24"/>
        <v/>
      </c>
      <c r="AM22" s="38" t="str">
        <f>IF(AD22&lt;&gt;"",COUNTIFS(AJ:AJ,"&lt;"&amp;AJ22)+COUNTIF($AJ$4:AJ22,AJ22),"")</f>
        <v/>
      </c>
      <c r="AN22" s="282"/>
      <c r="AO22" s="527" t="str">
        <f t="shared" si="10"/>
        <v/>
      </c>
      <c r="AP22" s="291" t="str">
        <f t="shared" si="32"/>
        <v/>
      </c>
      <c r="AQ22" s="292" t="str">
        <f t="shared" si="11"/>
        <v/>
      </c>
      <c r="AR22" s="285" t="str">
        <f t="shared" si="33"/>
        <v/>
      </c>
      <c r="AS22" s="316" t="str">
        <f t="shared" si="13"/>
        <v/>
      </c>
      <c r="AT22" s="309" t="str">
        <f t="shared" si="30"/>
        <v/>
      </c>
      <c r="AU22" s="285" t="str">
        <f t="shared" si="27"/>
        <v/>
      </c>
      <c r="AV22" s="597"/>
      <c r="AW22" s="527">
        <f t="shared" si="28"/>
        <v>19</v>
      </c>
      <c r="AX22" s="291" t="str">
        <f t="shared" si="29"/>
        <v>T</v>
      </c>
      <c r="AY22" s="292">
        <f t="shared" si="25"/>
        <v>6.4</v>
      </c>
      <c r="AZ22" s="317">
        <f t="shared" si="14"/>
        <v>16.920000000000002</v>
      </c>
      <c r="BA22" s="316">
        <f t="shared" si="26"/>
        <v>8.3000000000000007</v>
      </c>
      <c r="BB22" s="285">
        <f t="shared" si="15"/>
        <v>17.28</v>
      </c>
    </row>
    <row r="23" spans="1:54" ht="24" customHeight="1">
      <c r="A23" s="38">
        <f>IF(E23&lt;&gt;"",SUMPRODUCT(--(G23&gt;$G$4:$G$40))+COUNTIF($G$4:G23,G23),"")</f>
        <v>19</v>
      </c>
      <c r="B23" s="38">
        <f>IF(E23&lt;&gt;"",SUMPRODUCT(--(I23&gt;$I$4:$I$40))+COUNTIF($I$4:I23,I23),"")</f>
        <v>18</v>
      </c>
      <c r="C23" s="38">
        <f t="shared" si="16"/>
        <v>75</v>
      </c>
      <c r="D23" s="38">
        <f>IF(E23&lt;&gt;"",COUNTIFS(A:A,"&lt;"&amp;A23)+COUNTIF($A$4:A23,A23),"")</f>
        <v>19</v>
      </c>
      <c r="E23" s="278" t="str">
        <f>IF(Liste!B22&lt;&gt;"",Liste!B22,"")</f>
        <v>T</v>
      </c>
      <c r="F23" s="279" t="str">
        <f>IF(Liste!C22&lt;&gt;"",Liste!C22,"")</f>
        <v>F</v>
      </c>
      <c r="G23" s="280">
        <f>IF(E23&lt;&gt;"",IF(Perf.Sprint!$AK23&lt;&gt;"",Perf.Sprint!$AK23,100),"")</f>
        <v>6.4</v>
      </c>
      <c r="H23" s="281">
        <f>IF(F23&lt;&gt;"",IF(Perf.Sprint!$AM23&lt;&gt;"",Perf.Sprint!$AM23,100),"")</f>
        <v>16.920000000000002</v>
      </c>
      <c r="I23" s="280">
        <f>IF(E23&lt;&gt;"",IF(Perf.Sprint!$AX23&lt;&gt;"",Perf.Sprint!$AX23,100),"")</f>
        <v>8.3000000000000007</v>
      </c>
      <c r="J23" s="281">
        <f>IF(H23&lt;&gt;"",IF(Perf.Sprint!$AZ23&lt;&gt;"",Perf.Sprint!$AZ23,100),"")</f>
        <v>17.28</v>
      </c>
      <c r="K23" s="263">
        <v>20</v>
      </c>
      <c r="L23" s="20" t="str">
        <f t="array" ref="L23">IF(ROWS($2:21)&lt;=COUNTIF($F$4:$F$40,"F"),INDEX($E$4:$E$40,SMALL(IF($F$4:$F$40="F",MATCH($E$4:$E$40,$E$4:$E$40,0)),ROWS($2:21))),"")</f>
        <v/>
      </c>
      <c r="M23" s="38" t="str">
        <f t="shared" si="0"/>
        <v/>
      </c>
      <c r="N23" s="38" t="str">
        <f t="shared" si="1"/>
        <v/>
      </c>
      <c r="O23" s="38" t="str">
        <f t="shared" si="17"/>
        <v/>
      </c>
      <c r="P23" s="38" t="str">
        <f t="shared" si="2"/>
        <v/>
      </c>
      <c r="Q23" s="38" t="str">
        <f t="shared" si="18"/>
        <v/>
      </c>
      <c r="R23" s="38" t="str">
        <f>IF(L23&lt;&gt;"",SUMPRODUCT(--(N23&gt;$N$4:$N$40))+COUNTIF($N$4:N23,N23),"")</f>
        <v/>
      </c>
      <c r="S23" s="38" t="str">
        <f>IF(L23&lt;&gt;"",SUMPRODUCT(--(P23&gt;$P$4:$P$40))+COUNTIF($P$4:P23,P23),"")</f>
        <v/>
      </c>
      <c r="T23" s="307" t="str">
        <f t="shared" si="19"/>
        <v/>
      </c>
      <c r="U23" s="38" t="str">
        <f>IF(T23&lt;&gt;"",SUMPRODUCT(--(T23&gt;$T$4:$T$40))+COUNTIF(T$4:$T23,T23),"")</f>
        <v/>
      </c>
      <c r="V23" s="282"/>
      <c r="W23" s="527" t="str">
        <f t="shared" si="20"/>
        <v/>
      </c>
      <c r="X23" s="288" t="str">
        <f t="shared" si="31"/>
        <v/>
      </c>
      <c r="Y23" s="289" t="str">
        <f t="shared" si="3"/>
        <v/>
      </c>
      <c r="Z23" s="290" t="str">
        <f t="shared" si="4"/>
        <v/>
      </c>
      <c r="AA23" s="313" t="str">
        <f t="shared" si="5"/>
        <v/>
      </c>
      <c r="AB23" s="309" t="str">
        <f t="shared" si="21"/>
        <v/>
      </c>
      <c r="AC23" s="290" t="str">
        <f t="shared" si="34"/>
        <v/>
      </c>
      <c r="AD23" s="20" t="str">
        <f t="array" ref="AD23">IF(ROWS($2:21)&lt;=COUNTIF($F$4:$F$40,"M"),INDEX($E$4:$E$40,SMALL(IF($F$4:$F$40="M",MATCH($E$4:$E$40,$E$4:$E$40,0)),ROWS($2:21))),"")</f>
        <v/>
      </c>
      <c r="AE23" s="38" t="str">
        <f t="shared" ref="AE23:AE37" si="35">INDEX($F$4:$F$40,MATCH($AD23,$E$4:$E$40,0))</f>
        <v/>
      </c>
      <c r="AF23" s="38" t="str">
        <f t="shared" si="8"/>
        <v/>
      </c>
      <c r="AG23" s="38" t="str">
        <f t="shared" si="22"/>
        <v/>
      </c>
      <c r="AH23" s="38" t="str">
        <f t="shared" si="9"/>
        <v/>
      </c>
      <c r="AI23" s="38" t="str">
        <f t="shared" si="23"/>
        <v/>
      </c>
      <c r="AJ23" s="38" t="str">
        <f>IF(AD23&lt;&gt;"",SUMPRODUCT(--(AF23&gt;$AF$4:$AF$40))+COUNTIF($AF$4:AF23,AF23),"")</f>
        <v/>
      </c>
      <c r="AK23" s="38" t="str">
        <f>IF(AD23&lt;&gt;"",SUMPRODUCT(--(AH23&gt;$AH$4:$AH$40))+COUNTIF($AH$4:AH23,AH23),"")</f>
        <v/>
      </c>
      <c r="AL23" s="307" t="str">
        <f t="shared" si="24"/>
        <v/>
      </c>
      <c r="AM23" s="38" t="str">
        <f>IF(AD23&lt;&gt;"",COUNTIFS(AJ:AJ,"&lt;"&amp;AJ23)+COUNTIF($AJ$4:AJ23,AJ23),"")</f>
        <v/>
      </c>
      <c r="AN23" s="282"/>
      <c r="AO23" s="527" t="str">
        <f t="shared" si="10"/>
        <v/>
      </c>
      <c r="AP23" s="288" t="str">
        <f t="shared" si="32"/>
        <v/>
      </c>
      <c r="AQ23" s="289" t="str">
        <f t="shared" si="11"/>
        <v/>
      </c>
      <c r="AR23" s="314" t="str">
        <f t="shared" si="33"/>
        <v/>
      </c>
      <c r="AS23" s="313" t="str">
        <f t="shared" si="13"/>
        <v/>
      </c>
      <c r="AT23" s="309" t="str">
        <f t="shared" si="30"/>
        <v/>
      </c>
      <c r="AU23" s="314" t="str">
        <f t="shared" si="27"/>
        <v/>
      </c>
      <c r="AV23" s="597"/>
      <c r="AW23" s="527">
        <f t="shared" si="28"/>
        <v>20</v>
      </c>
      <c r="AX23" s="288" t="str">
        <f t="shared" si="29"/>
        <v>A</v>
      </c>
      <c r="AY23" s="289">
        <f t="shared" si="25"/>
        <v>100</v>
      </c>
      <c r="AZ23" s="315" t="str">
        <f t="shared" si="14"/>
        <v/>
      </c>
      <c r="BA23" s="313">
        <f t="shared" si="26"/>
        <v>100</v>
      </c>
      <c r="BB23" s="290" t="str">
        <f t="shared" si="15"/>
        <v/>
      </c>
    </row>
    <row r="24" spans="1:54" ht="24" customHeight="1">
      <c r="A24" s="38">
        <f>IF(E24&lt;&gt;"",SUMPRODUCT(--(G24&gt;$G$4:$G$40))+COUNTIF($G$4:G24,G24),"")</f>
        <v>18</v>
      </c>
      <c r="B24" s="38">
        <f>IF(E24&lt;&gt;"",SUMPRODUCT(--(I24&gt;$I$4:$I$40))+COUNTIF($I$4:I24,I24),"")</f>
        <v>19</v>
      </c>
      <c r="C24" s="38">
        <f t="shared" si="16"/>
        <v>73</v>
      </c>
      <c r="D24" s="38">
        <f>IF(E24&lt;&gt;"",COUNTIFS(A:A,"&lt;"&amp;A24)+COUNTIF($A$4:A24,A24),"")</f>
        <v>18</v>
      </c>
      <c r="E24" s="278" t="str">
        <f>IF(Liste!B23&lt;&gt;"",Liste!B23,"")</f>
        <v>U</v>
      </c>
      <c r="F24" s="279" t="str">
        <f>IF(Liste!C23&lt;&gt;"",Liste!C23,"")</f>
        <v>F</v>
      </c>
      <c r="G24" s="280">
        <f>IF(E24&lt;&gt;"",IF(Perf.Sprint!$AK24&lt;&gt;"",Perf.Sprint!$AK24,100),"")</f>
        <v>6.3</v>
      </c>
      <c r="H24" s="281">
        <f>IF(F24&lt;&gt;"",IF(Perf.Sprint!$AM24&lt;&gt;"",Perf.Sprint!$AM24,100),"")</f>
        <v>17.28</v>
      </c>
      <c r="I24" s="280">
        <f>IF(E24&lt;&gt;"",IF(Perf.Sprint!$AX24&lt;&gt;"",Perf.Sprint!$AX24,100),"")</f>
        <v>8.3000000000000007</v>
      </c>
      <c r="J24" s="281">
        <f>IF(H24&lt;&gt;"",IF(Perf.Sprint!$AZ24&lt;&gt;"",Perf.Sprint!$AZ24,100),"")</f>
        <v>17.28</v>
      </c>
      <c r="K24" s="263">
        <v>21</v>
      </c>
      <c r="L24" s="20" t="str">
        <f t="array" ref="L24">IF(ROWS($2:22)&lt;=COUNTIF($F$4:$F$40,"F"),INDEX($E$4:$E$40,SMALL(IF($F$4:$F$40="F",MATCH($E$4:$E$40,$E$4:$E$40,0)),ROWS($2:22))),"")</f>
        <v/>
      </c>
      <c r="M24" s="38" t="str">
        <f t="shared" si="0"/>
        <v/>
      </c>
      <c r="N24" s="38" t="str">
        <f t="shared" si="1"/>
        <v/>
      </c>
      <c r="O24" s="38" t="str">
        <f t="shared" si="17"/>
        <v/>
      </c>
      <c r="P24" s="38" t="str">
        <f t="shared" si="2"/>
        <v/>
      </c>
      <c r="Q24" s="38" t="str">
        <f t="shared" si="18"/>
        <v/>
      </c>
      <c r="R24" s="38" t="str">
        <f>IF(L24&lt;&gt;"",SUMPRODUCT(--(N24&gt;$N$4:$N$40))+COUNTIF($N$4:N24,N24),"")</f>
        <v/>
      </c>
      <c r="S24" s="38" t="str">
        <f>IF(L24&lt;&gt;"",SUMPRODUCT(--(P24&gt;$P$4:$P$40))+COUNTIF($P$4:P24,P24),"")</f>
        <v/>
      </c>
      <c r="T24" s="307" t="str">
        <f t="shared" si="19"/>
        <v/>
      </c>
      <c r="U24" s="38" t="str">
        <f>IF(T24&lt;&gt;"",SUMPRODUCT(--(T24&gt;$T$4:$T$40))+COUNTIF(T$4:$T24,T24),"")</f>
        <v/>
      </c>
      <c r="V24" s="282"/>
      <c r="W24" s="527" t="str">
        <f t="shared" si="20"/>
        <v/>
      </c>
      <c r="X24" s="291" t="str">
        <f t="shared" si="31"/>
        <v/>
      </c>
      <c r="Y24" s="292" t="str">
        <f t="shared" si="3"/>
        <v/>
      </c>
      <c r="Z24" s="285" t="str">
        <f t="shared" si="4"/>
        <v/>
      </c>
      <c r="AA24" s="316" t="str">
        <f t="shared" si="5"/>
        <v/>
      </c>
      <c r="AB24" s="309" t="str">
        <f t="shared" si="21"/>
        <v/>
      </c>
      <c r="AC24" s="285" t="str">
        <f t="shared" si="34"/>
        <v/>
      </c>
      <c r="AD24" s="20" t="str">
        <f t="array" ref="AD24">IF(ROWS($2:22)&lt;=COUNTIF($F$4:$F$40,"M"),INDEX($E$4:$E$40,SMALL(IF($F$4:$F$40="M",MATCH($E$4:$E$40,$E$4:$E$40,0)),ROWS($2:22))),"")</f>
        <v/>
      </c>
      <c r="AE24" s="38" t="str">
        <f t="shared" si="35"/>
        <v/>
      </c>
      <c r="AF24" s="38" t="str">
        <f t="shared" si="8"/>
        <v/>
      </c>
      <c r="AG24" s="38" t="str">
        <f t="shared" si="22"/>
        <v/>
      </c>
      <c r="AH24" s="38" t="str">
        <f t="shared" si="9"/>
        <v/>
      </c>
      <c r="AI24" s="38" t="str">
        <f t="shared" si="23"/>
        <v/>
      </c>
      <c r="AJ24" s="38" t="str">
        <f>IF(AD24&lt;&gt;"",SUMPRODUCT(--(AF24&gt;$AF$4:$AF$40))+COUNTIF($AF$4:AF24,AF24),"")</f>
        <v/>
      </c>
      <c r="AK24" s="38" t="str">
        <f>IF(AD24&lt;&gt;"",SUMPRODUCT(--(AH24&gt;$AH$4:$AH$40))+COUNTIF($AH$4:AH24,AH24),"")</f>
        <v/>
      </c>
      <c r="AL24" s="307" t="str">
        <f t="shared" si="24"/>
        <v/>
      </c>
      <c r="AM24" s="38" t="str">
        <f>IF(AD24&lt;&gt;"",COUNTIFS(AJ:AJ,"&lt;"&amp;AJ24)+COUNTIF($AJ$4:AJ24,AJ24),"")</f>
        <v/>
      </c>
      <c r="AN24" s="282"/>
      <c r="AO24" s="527" t="str">
        <f t="shared" si="10"/>
        <v/>
      </c>
      <c r="AP24" s="291" t="str">
        <f t="shared" si="32"/>
        <v/>
      </c>
      <c r="AQ24" s="292" t="str">
        <f t="shared" si="11"/>
        <v/>
      </c>
      <c r="AR24" s="285" t="str">
        <f t="shared" si="33"/>
        <v/>
      </c>
      <c r="AS24" s="316" t="str">
        <f t="shared" si="13"/>
        <v/>
      </c>
      <c r="AT24" s="309" t="str">
        <f t="shared" si="30"/>
        <v/>
      </c>
      <c r="AU24" s="285" t="str">
        <f t="shared" si="27"/>
        <v/>
      </c>
      <c r="AV24" s="597"/>
      <c r="AW24" s="527">
        <f t="shared" si="28"/>
        <v>21</v>
      </c>
      <c r="AX24" s="291" t="str">
        <f t="shared" si="29"/>
        <v>I</v>
      </c>
      <c r="AY24" s="292">
        <f t="shared" si="25"/>
        <v>100</v>
      </c>
      <c r="AZ24" s="317" t="str">
        <f t="shared" si="14"/>
        <v/>
      </c>
      <c r="BA24" s="316">
        <f t="shared" si="26"/>
        <v>100</v>
      </c>
      <c r="BB24" s="285" t="str">
        <f t="shared" si="15"/>
        <v/>
      </c>
    </row>
    <row r="25" spans="1:54" ht="24" customHeight="1">
      <c r="A25" s="38">
        <f>IF(E25&lt;&gt;"",SUMPRODUCT(--(G25&gt;$G$4:$G$40))+COUNTIF($G$4:G25,G25),"")</f>
        <v>12</v>
      </c>
      <c r="B25" s="38">
        <f>IF(E25&lt;&gt;"",SUMPRODUCT(--(I25&gt;$I$4:$I$40))+COUNTIF($I$4:I25,I25),"")</f>
        <v>10</v>
      </c>
      <c r="C25" s="38">
        <f t="shared" si="16"/>
        <v>46</v>
      </c>
      <c r="D25" s="38">
        <f>IF(E25&lt;&gt;"",COUNTIFS(A:A,"&lt;"&amp;A25)+COUNTIF($A$4:A25,A25),"")</f>
        <v>12</v>
      </c>
      <c r="E25" s="278" t="str">
        <f>IF(Liste!B24&lt;&gt;"",Liste!B24,"")</f>
        <v>V</v>
      </c>
      <c r="F25" s="279" t="str">
        <f>IF(Liste!C24&lt;&gt;"",Liste!C24,"")</f>
        <v>F</v>
      </c>
      <c r="G25" s="280">
        <f>IF(E25&lt;&gt;"",IF(Perf.Sprint!$AK25&lt;&gt;"",Perf.Sprint!$AK25,100),"")</f>
        <v>5.7</v>
      </c>
      <c r="H25" s="281">
        <f>IF(F25&lt;&gt;"",IF(Perf.Sprint!$AM25&lt;&gt;"",Perf.Sprint!$AM25,100),"")</f>
        <v>19.079999999999998</v>
      </c>
      <c r="I25" s="280">
        <f>IF(E25&lt;&gt;"",IF(Perf.Sprint!$AX25&lt;&gt;"",Perf.Sprint!$AX25,100),"")</f>
        <v>7.3</v>
      </c>
      <c r="J25" s="281">
        <f>IF(H25&lt;&gt;"",IF(Perf.Sprint!$AZ25&lt;&gt;"",Perf.Sprint!$AZ25,100),"")</f>
        <v>19.8</v>
      </c>
      <c r="K25" s="263">
        <v>22</v>
      </c>
      <c r="L25" s="20" t="str">
        <f t="array" ref="L25">IF(ROWS($2:23)&lt;=COUNTIF($F$4:$F$40,"F"),INDEX($E$4:$E$40,SMALL(IF($F$4:$F$40="F",MATCH($E$4:$E$40,$E$4:$E$40,0)),ROWS($2:23))),"")</f>
        <v/>
      </c>
      <c r="M25" s="38" t="str">
        <f t="shared" si="0"/>
        <v/>
      </c>
      <c r="N25" s="38" t="str">
        <f t="shared" si="1"/>
        <v/>
      </c>
      <c r="O25" s="38" t="str">
        <f t="shared" si="17"/>
        <v/>
      </c>
      <c r="P25" s="38" t="str">
        <f t="shared" si="2"/>
        <v/>
      </c>
      <c r="Q25" s="38" t="str">
        <f t="shared" si="18"/>
        <v/>
      </c>
      <c r="R25" s="38" t="str">
        <f>IF(L25&lt;&gt;"",SUMPRODUCT(--(N25&gt;$N$4:$N$40))+COUNTIF($N$4:N25,N25),"")</f>
        <v/>
      </c>
      <c r="S25" s="38" t="str">
        <f>IF(L25&lt;&gt;"",SUMPRODUCT(--(P25&gt;$P$4:$P$40))+COUNTIF($P$4:P25,P25),"")</f>
        <v/>
      </c>
      <c r="T25" s="307" t="str">
        <f t="shared" si="19"/>
        <v/>
      </c>
      <c r="U25" s="38" t="str">
        <f>IF(T25&lt;&gt;"",SUMPRODUCT(--(T25&gt;$T$4:$T$40))+COUNTIF(T$4:$T25,T25),"")</f>
        <v/>
      </c>
      <c r="V25" s="282"/>
      <c r="W25" s="527" t="str">
        <f t="shared" si="20"/>
        <v/>
      </c>
      <c r="X25" s="288" t="str">
        <f t="shared" si="31"/>
        <v/>
      </c>
      <c r="Y25" s="289" t="str">
        <f t="shared" si="3"/>
        <v/>
      </c>
      <c r="Z25" s="290" t="str">
        <f t="shared" si="4"/>
        <v/>
      </c>
      <c r="AA25" s="313" t="str">
        <f t="shared" si="5"/>
        <v/>
      </c>
      <c r="AB25" s="309" t="str">
        <f t="shared" si="21"/>
        <v/>
      </c>
      <c r="AC25" s="290" t="str">
        <f t="shared" si="34"/>
        <v/>
      </c>
      <c r="AD25" s="20" t="str">
        <f t="array" ref="AD25">IF(ROWS($2:23)&lt;=COUNTIF($F$4:$F$40,"M"),INDEX($E$4:$E$40,SMALL(IF($F$4:$F$40="M",MATCH($E$4:$E$40,$E$4:$E$40,0)),ROWS($2:23))),"")</f>
        <v/>
      </c>
      <c r="AE25" s="38" t="str">
        <f t="shared" si="35"/>
        <v/>
      </c>
      <c r="AF25" s="38" t="str">
        <f t="shared" si="8"/>
        <v/>
      </c>
      <c r="AG25" s="38" t="str">
        <f t="shared" si="22"/>
        <v/>
      </c>
      <c r="AH25" s="38" t="str">
        <f t="shared" si="9"/>
        <v/>
      </c>
      <c r="AI25" s="38" t="str">
        <f t="shared" si="23"/>
        <v/>
      </c>
      <c r="AJ25" s="38" t="str">
        <f>IF(AD25&lt;&gt;"",SUMPRODUCT(--(AF25&gt;$AF$4:$AF$40))+COUNTIF($AF$4:AF25,AF25),"")</f>
        <v/>
      </c>
      <c r="AK25" s="38" t="str">
        <f>IF(AD25&lt;&gt;"",SUMPRODUCT(--(AH25&gt;$AH$4:$AH$40))+COUNTIF($AH$4:AH25,AH25),"")</f>
        <v/>
      </c>
      <c r="AL25" s="307" t="str">
        <f t="shared" si="24"/>
        <v/>
      </c>
      <c r="AM25" s="38" t="str">
        <f>IF(AD25&lt;&gt;"",COUNTIFS(AJ:AJ,"&lt;"&amp;AJ25)+COUNTIF($AJ$4:AJ25,AJ25),"")</f>
        <v/>
      </c>
      <c r="AN25" s="282"/>
      <c r="AO25" s="527" t="str">
        <f t="shared" si="10"/>
        <v/>
      </c>
      <c r="AP25" s="288" t="str">
        <f t="shared" si="32"/>
        <v/>
      </c>
      <c r="AQ25" s="289" t="str">
        <f t="shared" si="11"/>
        <v/>
      </c>
      <c r="AR25" s="314" t="str">
        <f t="shared" si="33"/>
        <v/>
      </c>
      <c r="AS25" s="313" t="str">
        <f t="shared" si="13"/>
        <v/>
      </c>
      <c r="AT25" s="309" t="str">
        <f t="shared" si="30"/>
        <v/>
      </c>
      <c r="AU25" s="314" t="str">
        <f t="shared" si="27"/>
        <v/>
      </c>
      <c r="AV25" s="597"/>
      <c r="AW25" s="527">
        <f t="shared" si="28"/>
        <v>22</v>
      </c>
      <c r="AX25" s="288" t="str">
        <f t="shared" si="29"/>
        <v>L</v>
      </c>
      <c r="AY25" s="289">
        <f t="shared" si="25"/>
        <v>100</v>
      </c>
      <c r="AZ25" s="315" t="str">
        <f t="shared" si="14"/>
        <v/>
      </c>
      <c r="BA25" s="313">
        <f t="shared" si="26"/>
        <v>100</v>
      </c>
      <c r="BB25" s="290" t="str">
        <f t="shared" si="15"/>
        <v/>
      </c>
    </row>
    <row r="26" spans="1:54" ht="24" customHeight="1">
      <c r="A26" s="38">
        <f>IF(E26&lt;&gt;"",SUMPRODUCT(--(G26&gt;$G$4:$G$40))+COUNTIF($G$4:G26,G26),"")</f>
        <v>25</v>
      </c>
      <c r="B26" s="38">
        <f>IF(E26&lt;&gt;"",SUMPRODUCT(--(I26&gt;$I$4:$I$40))+COUNTIF($I$4:I26,I26),"")</f>
        <v>25</v>
      </c>
      <c r="C26" s="38">
        <f t="shared" si="16"/>
        <v>100</v>
      </c>
      <c r="D26" s="38">
        <f>IF(E26&lt;&gt;"",COUNTIFS(A:A,"&lt;"&amp;A26)+COUNTIF($A$4:A26,A26),"")</f>
        <v>25</v>
      </c>
      <c r="E26" s="278" t="str">
        <f>IF(Liste!B25&lt;&gt;"",Liste!B25,"")</f>
        <v>W</v>
      </c>
      <c r="F26" s="279" t="str">
        <f>IF(Liste!C25&lt;&gt;"",Liste!C25,"")</f>
        <v>F</v>
      </c>
      <c r="G26" s="280">
        <f>IF(E26&lt;&gt;"",IF(Perf.Sprint!$AK26&lt;&gt;"",Perf.Sprint!$AK26,100),"")</f>
        <v>100</v>
      </c>
      <c r="H26" s="281">
        <f>IF(F26&lt;&gt;"",IF(Perf.Sprint!$AM26&lt;&gt;"",Perf.Sprint!$AM26,100),"")</f>
        <v>100</v>
      </c>
      <c r="I26" s="280">
        <f>IF(E26&lt;&gt;"",IF(Perf.Sprint!$AX26&lt;&gt;"",Perf.Sprint!$AX26,100),"")</f>
        <v>100</v>
      </c>
      <c r="J26" s="281">
        <f>IF(H26&lt;&gt;"",IF(Perf.Sprint!$AZ26&lt;&gt;"",Perf.Sprint!$AZ26,100),"")</f>
        <v>100</v>
      </c>
      <c r="K26" s="263">
        <v>23</v>
      </c>
      <c r="L26" s="20" t="str">
        <f t="array" ref="L26">IF(ROWS($2:24)&lt;=COUNTIF($F$4:$F$40,"F"),INDEX($E$4:$E$40,SMALL(IF($F$4:$F$40="F",MATCH($E$4:$E$40,$E$4:$E$40,0)),ROWS($2:24))),"")</f>
        <v/>
      </c>
      <c r="M26" s="38" t="str">
        <f t="shared" si="0"/>
        <v/>
      </c>
      <c r="N26" s="38" t="str">
        <f t="shared" si="1"/>
        <v/>
      </c>
      <c r="O26" s="38" t="str">
        <f t="shared" si="17"/>
        <v/>
      </c>
      <c r="P26" s="38" t="str">
        <f t="shared" si="2"/>
        <v/>
      </c>
      <c r="Q26" s="38" t="str">
        <f t="shared" si="18"/>
        <v/>
      </c>
      <c r="R26" s="38" t="str">
        <f>IF(L26&lt;&gt;"",SUMPRODUCT(--(N26&gt;$N$4:$N$40))+COUNTIF($N$4:N26,N26),"")</f>
        <v/>
      </c>
      <c r="S26" s="38" t="str">
        <f>IF(L26&lt;&gt;"",SUMPRODUCT(--(P26&gt;$P$4:$P$40))+COUNTIF($P$4:P26,P26),"")</f>
        <v/>
      </c>
      <c r="T26" s="307" t="str">
        <f t="shared" si="19"/>
        <v/>
      </c>
      <c r="U26" s="38" t="str">
        <f>IF(T26&lt;&gt;"",SUMPRODUCT(--(T26&gt;$T$4:$T$40))+COUNTIF(T$4:$T26,T26),"")</f>
        <v/>
      </c>
      <c r="V26" s="282"/>
      <c r="W26" s="527" t="str">
        <f t="shared" si="20"/>
        <v/>
      </c>
      <c r="X26" s="291" t="str">
        <f t="shared" si="31"/>
        <v/>
      </c>
      <c r="Y26" s="292" t="str">
        <f t="shared" si="3"/>
        <v/>
      </c>
      <c r="Z26" s="285" t="str">
        <f t="shared" si="4"/>
        <v/>
      </c>
      <c r="AA26" s="316" t="str">
        <f t="shared" si="5"/>
        <v/>
      </c>
      <c r="AB26" s="309" t="str">
        <f t="shared" si="21"/>
        <v/>
      </c>
      <c r="AC26" s="285" t="str">
        <f t="shared" si="34"/>
        <v/>
      </c>
      <c r="AD26" s="20" t="str">
        <f t="array" ref="AD26">IF(ROWS($2:24)&lt;=COUNTIF($F$4:$F$40,"M"),INDEX($E$4:$E$40,SMALL(IF($F$4:$F$40="M",MATCH($E$4:$E$40,$E$4:$E$40,0)),ROWS($2:24))),"")</f>
        <v/>
      </c>
      <c r="AE26" s="38" t="str">
        <f t="shared" si="35"/>
        <v/>
      </c>
      <c r="AF26" s="38" t="str">
        <f t="shared" si="8"/>
        <v/>
      </c>
      <c r="AG26" s="38" t="str">
        <f t="shared" si="22"/>
        <v/>
      </c>
      <c r="AH26" s="38" t="str">
        <f t="shared" si="9"/>
        <v/>
      </c>
      <c r="AI26" s="38" t="str">
        <f t="shared" si="23"/>
        <v/>
      </c>
      <c r="AJ26" s="38" t="str">
        <f>IF(AD26&lt;&gt;"",SUMPRODUCT(--(AF26&gt;$AF$4:$AF$40))+COUNTIF($AF$4:AF26,AF26),"")</f>
        <v/>
      </c>
      <c r="AK26" s="38" t="str">
        <f>IF(AD26&lt;&gt;"",SUMPRODUCT(--(AH26&gt;$AH$4:$AH$40))+COUNTIF($AH$4:AH26,AH26),"")</f>
        <v/>
      </c>
      <c r="AL26" s="307" t="str">
        <f t="shared" si="24"/>
        <v/>
      </c>
      <c r="AM26" s="38" t="str">
        <f>IF(AD26&lt;&gt;"",COUNTIFS(AJ:AJ,"&lt;"&amp;AJ26)+COUNTIF($AJ$4:AJ26,AJ26),"")</f>
        <v/>
      </c>
      <c r="AN26" s="282"/>
      <c r="AO26" s="527" t="str">
        <f t="shared" si="10"/>
        <v/>
      </c>
      <c r="AP26" s="291" t="str">
        <f t="shared" si="32"/>
        <v/>
      </c>
      <c r="AQ26" s="292" t="str">
        <f t="shared" si="11"/>
        <v/>
      </c>
      <c r="AR26" s="285" t="str">
        <f t="shared" si="33"/>
        <v/>
      </c>
      <c r="AS26" s="316" t="str">
        <f t="shared" si="13"/>
        <v/>
      </c>
      <c r="AT26" s="309" t="str">
        <f t="shared" si="30"/>
        <v/>
      </c>
      <c r="AU26" s="285" t="str">
        <f t="shared" si="27"/>
        <v/>
      </c>
      <c r="AV26" s="597"/>
      <c r="AW26" s="527">
        <f t="shared" si="28"/>
        <v>23</v>
      </c>
      <c r="AX26" s="291" t="str">
        <f t="shared" si="29"/>
        <v>P</v>
      </c>
      <c r="AY26" s="292">
        <f t="shared" si="25"/>
        <v>100</v>
      </c>
      <c r="AZ26" s="317" t="str">
        <f t="shared" si="14"/>
        <v/>
      </c>
      <c r="BA26" s="316">
        <f t="shared" si="26"/>
        <v>100</v>
      </c>
      <c r="BB26" s="285" t="str">
        <f t="shared" si="15"/>
        <v/>
      </c>
    </row>
    <row r="27" spans="1:54" ht="24" customHeight="1">
      <c r="A27" s="38">
        <f>IF(E27&lt;&gt;"",SUMPRODUCT(--(G27&gt;$G$4:$G$40))+COUNTIF($G$4:G27,G27),"")</f>
        <v>6</v>
      </c>
      <c r="B27" s="38">
        <f>IF(E27&lt;&gt;"",SUMPRODUCT(--(I27&gt;$I$4:$I$40))+COUNTIF($I$4:I27,I27),"")</f>
        <v>6</v>
      </c>
      <c r="C27" s="38">
        <f t="shared" si="16"/>
        <v>24</v>
      </c>
      <c r="D27" s="38">
        <f>IF(E27&lt;&gt;"",COUNTIFS(A:A,"&lt;"&amp;A27)+COUNTIF($A$4:A27,A27),"")</f>
        <v>6</v>
      </c>
      <c r="E27" s="278" t="str">
        <f>IF(Liste!B26&lt;&gt;"",Liste!B26,"")</f>
        <v>X</v>
      </c>
      <c r="F27" s="279" t="str">
        <f>IF(Liste!C26&lt;&gt;"",Liste!C26,"")</f>
        <v>M</v>
      </c>
      <c r="G27" s="280">
        <f>IF(E27&lt;&gt;"",IF(Perf.Sprint!$AK27&lt;&gt;"",Perf.Sprint!$AK27,100),"")</f>
        <v>5.3</v>
      </c>
      <c r="H27" s="281">
        <f>IF(F27&lt;&gt;"",IF(Perf.Sprint!$AM27&lt;&gt;"",Perf.Sprint!$AM27,100),"")</f>
        <v>20.52</v>
      </c>
      <c r="I27" s="280">
        <f>IF(E27&lt;&gt;"",IF(Perf.Sprint!$AX27&lt;&gt;"",Perf.Sprint!$AX27,100),"")</f>
        <v>6.7</v>
      </c>
      <c r="J27" s="281">
        <f>IF(H27&lt;&gt;"",IF(Perf.Sprint!$AZ27&lt;&gt;"",Perf.Sprint!$AZ27,100),"")</f>
        <v>21.6</v>
      </c>
      <c r="K27" s="263">
        <v>24</v>
      </c>
      <c r="L27" s="20" t="str">
        <f t="array" ref="L27">IF(ROWS($2:25)&lt;=COUNTIF($F$4:$F$40,"F"),INDEX($E$4:$E$40,SMALL(IF($F$4:$F$40="F",MATCH($E$4:$E$40,$E$4:$E$40,0)),ROWS($2:25))),"")</f>
        <v/>
      </c>
      <c r="M27" s="38" t="str">
        <f t="shared" si="0"/>
        <v/>
      </c>
      <c r="N27" s="38" t="str">
        <f t="shared" si="1"/>
        <v/>
      </c>
      <c r="O27" s="38" t="str">
        <f t="shared" si="17"/>
        <v/>
      </c>
      <c r="P27" s="38" t="str">
        <f t="shared" si="2"/>
        <v/>
      </c>
      <c r="Q27" s="38" t="str">
        <f t="shared" si="18"/>
        <v/>
      </c>
      <c r="R27" s="38" t="str">
        <f>IF(L27&lt;&gt;"",SUMPRODUCT(--(N27&gt;$N$4:$N$40))+COUNTIF($N$4:N27,N27),"")</f>
        <v/>
      </c>
      <c r="S27" s="38" t="str">
        <f>IF(L27&lt;&gt;"",SUMPRODUCT(--(P27&gt;$P$4:$P$40))+COUNTIF($P$4:P27,P27),"")</f>
        <v/>
      </c>
      <c r="T27" s="307" t="str">
        <f t="shared" si="19"/>
        <v/>
      </c>
      <c r="U27" s="38" t="str">
        <f>IF(T27&lt;&gt;"",SUMPRODUCT(--(T27&gt;$T$4:$T$40))+COUNTIF(T$4:$T27,T27),"")</f>
        <v/>
      </c>
      <c r="V27" s="282"/>
      <c r="W27" s="527" t="str">
        <f t="shared" si="20"/>
        <v/>
      </c>
      <c r="X27" s="288" t="str">
        <f t="shared" si="31"/>
        <v/>
      </c>
      <c r="Y27" s="289" t="str">
        <f t="shared" si="3"/>
        <v/>
      </c>
      <c r="Z27" s="290" t="str">
        <f t="shared" si="4"/>
        <v/>
      </c>
      <c r="AA27" s="313" t="str">
        <f t="shared" si="5"/>
        <v/>
      </c>
      <c r="AB27" s="309" t="str">
        <f t="shared" si="21"/>
        <v/>
      </c>
      <c r="AC27" s="290" t="str">
        <f t="shared" si="34"/>
        <v/>
      </c>
      <c r="AD27" s="20" t="str">
        <f t="array" ref="AD27">IF(ROWS($2:25)&lt;=COUNTIF($F$4:$F$40,"M"),INDEX($E$4:$E$40,SMALL(IF($F$4:$F$40="M",MATCH($E$4:$E$40,$E$4:$E$40,0)),ROWS($2:25))),"")</f>
        <v/>
      </c>
      <c r="AE27" s="38" t="str">
        <f t="shared" si="35"/>
        <v/>
      </c>
      <c r="AF27" s="38" t="str">
        <f t="shared" si="8"/>
        <v/>
      </c>
      <c r="AG27" s="38" t="str">
        <f t="shared" si="22"/>
        <v/>
      </c>
      <c r="AH27" s="38" t="str">
        <f t="shared" si="9"/>
        <v/>
      </c>
      <c r="AI27" s="38" t="str">
        <f t="shared" si="23"/>
        <v/>
      </c>
      <c r="AJ27" s="38" t="str">
        <f>IF(AD27&lt;&gt;"",SUMPRODUCT(--(AF27&gt;$AF$4:$AF$40))+COUNTIF($AF$4:AF27,AF27),"")</f>
        <v/>
      </c>
      <c r="AK27" s="38" t="str">
        <f>IF(AD27&lt;&gt;"",SUMPRODUCT(--(AH27&gt;$AH$4:$AH$40))+COUNTIF($AH$4:AH27,AH27),"")</f>
        <v/>
      </c>
      <c r="AL27" s="307" t="str">
        <f t="shared" si="24"/>
        <v/>
      </c>
      <c r="AM27" s="38" t="str">
        <f>IF(AD27&lt;&gt;"",COUNTIFS(AJ:AJ,"&lt;"&amp;AJ27)+COUNTIF($AJ$4:AJ27,AJ27),"")</f>
        <v/>
      </c>
      <c r="AN27" s="282"/>
      <c r="AO27" s="527" t="str">
        <f t="shared" si="10"/>
        <v/>
      </c>
      <c r="AP27" s="288" t="str">
        <f t="shared" si="32"/>
        <v/>
      </c>
      <c r="AQ27" s="289" t="str">
        <f t="shared" si="11"/>
        <v/>
      </c>
      <c r="AR27" s="314" t="str">
        <f t="shared" si="33"/>
        <v/>
      </c>
      <c r="AS27" s="313" t="str">
        <f t="shared" si="13"/>
        <v/>
      </c>
      <c r="AT27" s="309" t="str">
        <f t="shared" si="30"/>
        <v/>
      </c>
      <c r="AU27" s="314" t="str">
        <f t="shared" si="27"/>
        <v/>
      </c>
      <c r="AV27" s="597"/>
      <c r="AW27" s="527">
        <f t="shared" si="28"/>
        <v>24</v>
      </c>
      <c r="AX27" s="288" t="str">
        <f t="shared" si="29"/>
        <v>S</v>
      </c>
      <c r="AY27" s="289">
        <f t="shared" si="25"/>
        <v>100</v>
      </c>
      <c r="AZ27" s="315" t="str">
        <f t="shared" si="14"/>
        <v/>
      </c>
      <c r="BA27" s="313">
        <f t="shared" si="26"/>
        <v>100</v>
      </c>
      <c r="BB27" s="290" t="str">
        <f t="shared" si="15"/>
        <v/>
      </c>
    </row>
    <row r="28" spans="1:54" ht="24" customHeight="1">
      <c r="A28" s="38">
        <f>IF(E28&lt;&gt;"",SUMPRODUCT(--(G28&gt;$G$4:$G$40))+COUNTIF($G$4:G28,G28),"")</f>
        <v>16</v>
      </c>
      <c r="B28" s="38">
        <f>IF(E28&lt;&gt;"",SUMPRODUCT(--(I28&gt;$I$4:$I$40))+COUNTIF($I$4:I28,I28),"")</f>
        <v>16</v>
      </c>
      <c r="C28" s="38">
        <f t="shared" si="16"/>
        <v>64</v>
      </c>
      <c r="D28" s="38">
        <f>IF(E28&lt;&gt;"",COUNTIFS(A:A,"&lt;"&amp;A28)+COUNTIF($A$4:A28,A28),"")</f>
        <v>16</v>
      </c>
      <c r="E28" s="278" t="str">
        <f>IF(Liste!B27&lt;&gt;"",Liste!B27,"")</f>
        <v>Y</v>
      </c>
      <c r="F28" s="279" t="str">
        <f>IF(Liste!C27&lt;&gt;"",Liste!C27,"")</f>
        <v>F</v>
      </c>
      <c r="G28" s="280">
        <f>IF(E28&lt;&gt;"",IF(Perf.Sprint!$AK28&lt;&gt;"",Perf.Sprint!$AK28,100),"")</f>
        <v>5.9</v>
      </c>
      <c r="H28" s="281">
        <f>IF(F28&lt;&gt;"",IF(Perf.Sprint!$AM28&lt;&gt;"",Perf.Sprint!$AM28,100),"")</f>
        <v>18.36</v>
      </c>
      <c r="I28" s="280">
        <f>IF(E28&lt;&gt;"",IF(Perf.Sprint!$AX28&lt;&gt;"",Perf.Sprint!$AX28,100),"")</f>
        <v>7.6</v>
      </c>
      <c r="J28" s="281">
        <f>IF(H28&lt;&gt;"",IF(Perf.Sprint!$AZ28&lt;&gt;"",Perf.Sprint!$AZ28,100),"")</f>
        <v>19.079999999999998</v>
      </c>
      <c r="K28" s="263">
        <v>25</v>
      </c>
      <c r="L28" s="20" t="str">
        <f t="array" ref="L28">IF(ROWS($2:26)&lt;=COUNTIF($F$4:$F$40,"F"),INDEX($E$4:$E$40,SMALL(IF($F$4:$F$40="F",MATCH($E$4:$E$40,$E$4:$E$40,0)),ROWS($2:26))),"")</f>
        <v/>
      </c>
      <c r="M28" s="38" t="str">
        <f t="shared" si="0"/>
        <v/>
      </c>
      <c r="N28" s="38" t="str">
        <f t="shared" si="1"/>
        <v/>
      </c>
      <c r="O28" s="38" t="str">
        <f t="shared" si="17"/>
        <v/>
      </c>
      <c r="P28" s="38" t="str">
        <f t="shared" si="2"/>
        <v/>
      </c>
      <c r="Q28" s="38" t="str">
        <f t="shared" si="18"/>
        <v/>
      </c>
      <c r="R28" s="38" t="str">
        <f>IF(L28&lt;&gt;"",SUMPRODUCT(--(N28&gt;$N$4:$N$40))+COUNTIF($N$4:N28,N28),"")</f>
        <v/>
      </c>
      <c r="S28" s="38" t="str">
        <f>IF(L28&lt;&gt;"",SUMPRODUCT(--(P28&gt;$P$4:$P$40))+COUNTIF($P$4:P28,P28),"")</f>
        <v/>
      </c>
      <c r="T28" s="307" t="str">
        <f t="shared" si="19"/>
        <v/>
      </c>
      <c r="U28" s="38" t="str">
        <f>IF(T28&lt;&gt;"",SUMPRODUCT(--(T28&gt;$T$4:$T$40))+COUNTIF(T$4:$T28,T28),"")</f>
        <v/>
      </c>
      <c r="V28" s="282"/>
      <c r="W28" s="527" t="str">
        <f t="shared" si="20"/>
        <v/>
      </c>
      <c r="X28" s="291" t="str">
        <f t="shared" si="31"/>
        <v/>
      </c>
      <c r="Y28" s="292" t="str">
        <f t="shared" si="3"/>
        <v/>
      </c>
      <c r="Z28" s="285" t="str">
        <f t="shared" si="4"/>
        <v/>
      </c>
      <c r="AA28" s="316" t="str">
        <f t="shared" si="5"/>
        <v/>
      </c>
      <c r="AB28" s="309" t="str">
        <f t="shared" si="21"/>
        <v/>
      </c>
      <c r="AC28" s="285" t="str">
        <f t="shared" si="34"/>
        <v/>
      </c>
      <c r="AD28" s="20" t="str">
        <f t="array" ref="AD28">IF(ROWS($2:26)&lt;=COUNTIF($F$4:$F$40,"M"),INDEX($E$4:$E$40,SMALL(IF($F$4:$F$40="M",MATCH($E$4:$E$40,$E$4:$E$40,0)),ROWS($2:26))),"")</f>
        <v/>
      </c>
      <c r="AE28" s="38" t="str">
        <f t="shared" si="35"/>
        <v/>
      </c>
      <c r="AF28" s="38" t="str">
        <f t="shared" si="8"/>
        <v/>
      </c>
      <c r="AG28" s="38" t="str">
        <f t="shared" si="22"/>
        <v/>
      </c>
      <c r="AH28" s="38" t="str">
        <f t="shared" si="9"/>
        <v/>
      </c>
      <c r="AI28" s="38" t="str">
        <f t="shared" si="23"/>
        <v/>
      </c>
      <c r="AJ28" s="38" t="str">
        <f>IF(AD28&lt;&gt;"",SUMPRODUCT(--(AF28&gt;$AF$4:$AF$40))+COUNTIF($AF$4:AF28,AF28),"")</f>
        <v/>
      </c>
      <c r="AK28" s="38" t="str">
        <f>IF(AD28&lt;&gt;"",SUMPRODUCT(--(AH28&gt;$AH$4:$AH$40))+COUNTIF($AH$4:AH28,AH28),"")</f>
        <v/>
      </c>
      <c r="AL28" s="307" t="str">
        <f t="shared" si="24"/>
        <v/>
      </c>
      <c r="AM28" s="38" t="str">
        <f>IF(AD28&lt;&gt;"",COUNTIFS(AJ:AJ,"&lt;"&amp;AJ28)+COUNTIF($AJ$4:AJ28,AJ28),"")</f>
        <v/>
      </c>
      <c r="AN28" s="282"/>
      <c r="AO28" s="527" t="str">
        <f t="shared" si="10"/>
        <v/>
      </c>
      <c r="AP28" s="291" t="str">
        <f t="shared" si="32"/>
        <v/>
      </c>
      <c r="AQ28" s="292" t="str">
        <f t="shared" si="11"/>
        <v/>
      </c>
      <c r="AR28" s="285" t="str">
        <f t="shared" si="33"/>
        <v/>
      </c>
      <c r="AS28" s="316" t="str">
        <f t="shared" si="13"/>
        <v/>
      </c>
      <c r="AT28" s="309" t="str">
        <f t="shared" si="30"/>
        <v/>
      </c>
      <c r="AU28" s="285" t="str">
        <f t="shared" si="27"/>
        <v/>
      </c>
      <c r="AV28" s="597"/>
      <c r="AW28" s="527">
        <f t="shared" si="28"/>
        <v>25</v>
      </c>
      <c r="AX28" s="291" t="str">
        <f t="shared" si="29"/>
        <v>W</v>
      </c>
      <c r="AY28" s="292">
        <f t="shared" si="25"/>
        <v>100</v>
      </c>
      <c r="AZ28" s="317" t="str">
        <f t="shared" si="14"/>
        <v/>
      </c>
      <c r="BA28" s="316">
        <f t="shared" si="26"/>
        <v>100</v>
      </c>
      <c r="BB28" s="285" t="str">
        <f t="shared" si="15"/>
        <v/>
      </c>
    </row>
    <row r="29" spans="1:54" ht="24" customHeight="1">
      <c r="A29" s="38">
        <f>IF(E29&lt;&gt;"",SUMPRODUCT(--(G29&gt;$G$4:$G$40))+COUNTIF($G$4:G29,G29),"")</f>
        <v>26</v>
      </c>
      <c r="B29" s="38">
        <f>IF(E29&lt;&gt;"",SUMPRODUCT(--(I29&gt;$I$4:$I$40))+COUNTIF($I$4:I29,I29),"")</f>
        <v>26</v>
      </c>
      <c r="C29" s="38">
        <f t="shared" si="16"/>
        <v>104</v>
      </c>
      <c r="D29" s="38">
        <f>IF(E29&lt;&gt;"",COUNTIFS(A:A,"&lt;"&amp;A29)+COUNTIF($A$4:A29,A29),"")</f>
        <v>26</v>
      </c>
      <c r="E29" s="278" t="str">
        <f>IF(Liste!B28&lt;&gt;"",Liste!B28,"")</f>
        <v>Z</v>
      </c>
      <c r="F29" s="279" t="str">
        <f>IF(Liste!C28&lt;&gt;"",Liste!C28,"")</f>
        <v>F</v>
      </c>
      <c r="G29" s="280">
        <f>IF(E29&lt;&gt;"",IF(Perf.Sprint!$AK29&lt;&gt;"",Perf.Sprint!$AK29,100),"")</f>
        <v>100</v>
      </c>
      <c r="H29" s="281">
        <f>IF(F29&lt;&gt;"",IF(Perf.Sprint!$AM29&lt;&gt;"",Perf.Sprint!$AM29,100),"")</f>
        <v>100</v>
      </c>
      <c r="I29" s="280">
        <f>IF(E29&lt;&gt;"",IF(Perf.Sprint!$AX29&lt;&gt;"",Perf.Sprint!$AX29,100),"")</f>
        <v>100</v>
      </c>
      <c r="J29" s="281">
        <f>IF(H29&lt;&gt;"",IF(Perf.Sprint!$AZ29&lt;&gt;"",Perf.Sprint!$AZ29,100),"")</f>
        <v>100</v>
      </c>
      <c r="K29" s="263">
        <v>26</v>
      </c>
      <c r="L29" s="20" t="str">
        <f t="array" ref="L29">IF(ROWS($2:27)&lt;=COUNTIF($F$4:$F$40,"F"),INDEX($E$4:$E$40,SMALL(IF($F$4:$F$40="F",MATCH($E$4:$E$40,$E$4:$E$40,0)),ROWS($2:27))),"")</f>
        <v/>
      </c>
      <c r="M29" s="38" t="str">
        <f t="shared" si="0"/>
        <v/>
      </c>
      <c r="N29" s="38" t="str">
        <f t="shared" si="1"/>
        <v/>
      </c>
      <c r="O29" s="38" t="str">
        <f t="shared" si="17"/>
        <v/>
      </c>
      <c r="P29" s="38" t="str">
        <f t="shared" si="2"/>
        <v/>
      </c>
      <c r="Q29" s="38" t="str">
        <f t="shared" si="18"/>
        <v/>
      </c>
      <c r="R29" s="38" t="str">
        <f>IF(L29&lt;&gt;"",SUMPRODUCT(--(N29&gt;$N$4:$N$40))+COUNTIF($N$4:N29,N29),"")</f>
        <v/>
      </c>
      <c r="S29" s="38" t="str">
        <f>IF(L29&lt;&gt;"",SUMPRODUCT(--(P29&gt;$P$4:$P$40))+COUNTIF($P$4:P29,P29),"")</f>
        <v/>
      </c>
      <c r="T29" s="307" t="str">
        <f t="shared" si="19"/>
        <v/>
      </c>
      <c r="U29" s="38" t="str">
        <f>IF(T29&lt;&gt;"",SUMPRODUCT(--(T29&gt;$T$4:$T$40))+COUNTIF(T$4:$T29,T29),"")</f>
        <v/>
      </c>
      <c r="V29" s="282"/>
      <c r="W29" s="527" t="str">
        <f t="shared" si="20"/>
        <v/>
      </c>
      <c r="X29" s="288" t="str">
        <f t="shared" si="31"/>
        <v/>
      </c>
      <c r="Y29" s="289" t="str">
        <f t="shared" si="3"/>
        <v/>
      </c>
      <c r="Z29" s="290" t="str">
        <f t="shared" si="4"/>
        <v/>
      </c>
      <c r="AA29" s="313" t="str">
        <f t="shared" si="5"/>
        <v/>
      </c>
      <c r="AB29" s="309" t="str">
        <f t="shared" si="21"/>
        <v/>
      </c>
      <c r="AC29" s="290" t="str">
        <f t="shared" si="34"/>
        <v/>
      </c>
      <c r="AD29" s="20" t="str">
        <f t="array" ref="AD29">IF(ROWS($2:27)&lt;=COUNTIF($F$4:$F$40,"M"),INDEX($E$4:$E$40,SMALL(IF($F$4:$F$40="M",MATCH($E$4:$E$40,$E$4:$E$40,0)),ROWS($2:27))),"")</f>
        <v/>
      </c>
      <c r="AE29" s="38" t="str">
        <f t="shared" si="35"/>
        <v/>
      </c>
      <c r="AF29" s="38" t="str">
        <f t="shared" si="8"/>
        <v/>
      </c>
      <c r="AG29" s="38" t="str">
        <f t="shared" si="22"/>
        <v/>
      </c>
      <c r="AH29" s="38" t="str">
        <f t="shared" si="9"/>
        <v/>
      </c>
      <c r="AI29" s="38" t="str">
        <f t="shared" si="23"/>
        <v/>
      </c>
      <c r="AJ29" s="38" t="str">
        <f>IF(AD29&lt;&gt;"",SUMPRODUCT(--(AF29&gt;$AF$4:$AF$40))+COUNTIF($AF$4:AF29,AF29),"")</f>
        <v/>
      </c>
      <c r="AK29" s="38" t="str">
        <f>IF(AD29&lt;&gt;"",SUMPRODUCT(--(AH29&gt;$AH$4:$AH$40))+COUNTIF($AH$4:AH29,AH29),"")</f>
        <v/>
      </c>
      <c r="AL29" s="307" t="str">
        <f t="shared" si="24"/>
        <v/>
      </c>
      <c r="AM29" s="38" t="str">
        <f>IF(AD29&lt;&gt;"",COUNTIFS(AJ:AJ,"&lt;"&amp;AJ29)+COUNTIF($AJ$4:AJ29,AJ29),"")</f>
        <v/>
      </c>
      <c r="AN29" s="282"/>
      <c r="AO29" s="527" t="str">
        <f t="shared" si="10"/>
        <v/>
      </c>
      <c r="AP29" s="288" t="str">
        <f t="shared" si="32"/>
        <v/>
      </c>
      <c r="AQ29" s="289" t="str">
        <f t="shared" si="11"/>
        <v/>
      </c>
      <c r="AR29" s="314" t="str">
        <f t="shared" si="33"/>
        <v/>
      </c>
      <c r="AS29" s="313" t="str">
        <f t="shared" si="13"/>
        <v/>
      </c>
      <c r="AT29" s="309" t="str">
        <f t="shared" si="30"/>
        <v/>
      </c>
      <c r="AU29" s="314" t="str">
        <f t="shared" si="27"/>
        <v/>
      </c>
      <c r="AV29" s="597"/>
      <c r="AW29" s="527">
        <f t="shared" si="28"/>
        <v>26</v>
      </c>
      <c r="AX29" s="288" t="str">
        <f t="shared" si="29"/>
        <v>Z</v>
      </c>
      <c r="AY29" s="289">
        <f t="shared" si="25"/>
        <v>100</v>
      </c>
      <c r="AZ29" s="315" t="str">
        <f t="shared" si="14"/>
        <v/>
      </c>
      <c r="BA29" s="313">
        <f t="shared" si="26"/>
        <v>100</v>
      </c>
      <c r="BB29" s="290" t="str">
        <f t="shared" si="15"/>
        <v/>
      </c>
    </row>
    <row r="30" spans="1:54" ht="24" customHeight="1">
      <c r="A30" s="38" t="str">
        <f>IF(E30&lt;&gt;"",SUMPRODUCT(--(G30&gt;$G$4:$G$40))+COUNTIF($G$4:G30,G30),"")</f>
        <v/>
      </c>
      <c r="B30" s="38" t="str">
        <f>IF(E30&lt;&gt;"",SUMPRODUCT(--(I30&gt;$I$4:$I$40))+COUNTIF($I$4:I30,I30),"")</f>
        <v/>
      </c>
      <c r="C30" s="38" t="str">
        <f t="shared" si="16"/>
        <v/>
      </c>
      <c r="D30" s="38" t="str">
        <f>IF(E30&lt;&gt;"",COUNTIFS(A:A,"&lt;"&amp;A30)+COUNTIF($A$4:A30,A30),"")</f>
        <v/>
      </c>
      <c r="E30" s="278" t="str">
        <f>IF(Liste!B29&lt;&gt;"",Liste!B29,"")</f>
        <v/>
      </c>
      <c r="F30" s="279" t="str">
        <f>IF(Liste!C29&lt;&gt;"",Liste!C29,"")</f>
        <v/>
      </c>
      <c r="G30" s="280" t="str">
        <f>IF(E30&lt;&gt;"",IF(Perf.Sprint!$AK30&lt;&gt;"",Perf.Sprint!$AK30,100),"")</f>
        <v/>
      </c>
      <c r="H30" s="281" t="str">
        <f>IF(F30&lt;&gt;"",IF(Perf.Sprint!$AM30&lt;&gt;"",Perf.Sprint!$AM30,100),"")</f>
        <v/>
      </c>
      <c r="I30" s="280" t="str">
        <f>IF(E30&lt;&gt;"",IF(Perf.Sprint!$AX30&lt;&gt;"",Perf.Sprint!$AX30,100),"")</f>
        <v/>
      </c>
      <c r="J30" s="281" t="str">
        <f>IF(H30&lt;&gt;"",IF(Perf.Sprint!$AZ30&lt;&gt;"",Perf.Sprint!$AZ30,100),"")</f>
        <v/>
      </c>
      <c r="K30" s="263">
        <v>27</v>
      </c>
      <c r="L30" s="20" t="str">
        <f t="array" ref="L30">IF(ROWS($2:28)&lt;=COUNTIF($F$4:$F$40,"F"),INDEX($E$4:$E$40,SMALL(IF($F$4:$F$40="F",MATCH($E$4:$E$40,$E$4:$E$40,0)),ROWS($2:28))),"")</f>
        <v/>
      </c>
      <c r="M30" s="38" t="str">
        <f t="shared" si="0"/>
        <v/>
      </c>
      <c r="N30" s="38" t="str">
        <f t="shared" si="1"/>
        <v/>
      </c>
      <c r="O30" s="38" t="str">
        <f t="shared" si="17"/>
        <v/>
      </c>
      <c r="P30" s="38" t="str">
        <f t="shared" si="2"/>
        <v/>
      </c>
      <c r="Q30" s="38" t="str">
        <f t="shared" si="18"/>
        <v/>
      </c>
      <c r="R30" s="38" t="str">
        <f>IF(L30&lt;&gt;"",SUMPRODUCT(--(N30&gt;$N$4:$N$40))+COUNTIF($N$4:N30,N30),"")</f>
        <v/>
      </c>
      <c r="S30" s="38" t="str">
        <f>IF(L30&lt;&gt;"",SUMPRODUCT(--(P30&gt;$P$4:$P$40))+COUNTIF($P$4:P30,P30),"")</f>
        <v/>
      </c>
      <c r="T30" s="307" t="str">
        <f t="shared" si="19"/>
        <v/>
      </c>
      <c r="U30" s="38" t="str">
        <f>IF(T30&lt;&gt;"",SUMPRODUCT(--(T30&gt;$T$4:$T$40))+COUNTIF(T$4:$T30,T30),"")</f>
        <v/>
      </c>
      <c r="V30" s="282"/>
      <c r="W30" s="527" t="str">
        <f t="shared" si="20"/>
        <v/>
      </c>
      <c r="X30" s="291" t="str">
        <f t="shared" si="31"/>
        <v/>
      </c>
      <c r="Y30" s="292" t="str">
        <f t="shared" si="3"/>
        <v/>
      </c>
      <c r="Z30" s="285" t="str">
        <f t="shared" si="4"/>
        <v/>
      </c>
      <c r="AA30" s="316" t="str">
        <f t="shared" si="5"/>
        <v/>
      </c>
      <c r="AB30" s="309" t="str">
        <f t="shared" si="21"/>
        <v/>
      </c>
      <c r="AC30" s="285" t="str">
        <f t="shared" si="34"/>
        <v/>
      </c>
      <c r="AD30" s="20" t="str">
        <f t="array" ref="AD30">IF(ROWS($2:28)&lt;=COUNTIF($F$4:$F$40,"M"),INDEX($E$4:$E$40,SMALL(IF($F$4:$F$40="M",MATCH($E$4:$E$40,$E$4:$E$40,0)),ROWS($2:28))),"")</f>
        <v/>
      </c>
      <c r="AE30" s="38" t="str">
        <f t="shared" si="35"/>
        <v/>
      </c>
      <c r="AF30" s="38" t="str">
        <f t="shared" si="8"/>
        <v/>
      </c>
      <c r="AG30" s="38" t="str">
        <f t="shared" si="22"/>
        <v/>
      </c>
      <c r="AH30" s="38" t="str">
        <f t="shared" si="9"/>
        <v/>
      </c>
      <c r="AI30" s="38" t="str">
        <f t="shared" si="23"/>
        <v/>
      </c>
      <c r="AJ30" s="38" t="str">
        <f>IF(AD30&lt;&gt;"",SUMPRODUCT(--(AF30&gt;$AF$4:$AF$40))+COUNTIF($AF$4:AF30,AF30),"")</f>
        <v/>
      </c>
      <c r="AK30" s="38" t="str">
        <f>IF(AD30&lt;&gt;"",SUMPRODUCT(--(AH30&gt;$AH$4:$AH$40))+COUNTIF($AH$4:AH30,AH30),"")</f>
        <v/>
      </c>
      <c r="AL30" s="307" t="str">
        <f t="shared" si="24"/>
        <v/>
      </c>
      <c r="AM30" s="38" t="str">
        <f>IF(AD30&lt;&gt;"",COUNTIFS(AJ:AJ,"&lt;"&amp;AJ30)+COUNTIF($AJ$4:AJ30,AJ30),"")</f>
        <v/>
      </c>
      <c r="AN30" s="282"/>
      <c r="AO30" s="527" t="str">
        <f t="shared" si="10"/>
        <v/>
      </c>
      <c r="AP30" s="291" t="str">
        <f t="shared" si="32"/>
        <v/>
      </c>
      <c r="AQ30" s="292" t="str">
        <f t="shared" si="11"/>
        <v/>
      </c>
      <c r="AR30" s="285" t="str">
        <f t="shared" si="33"/>
        <v/>
      </c>
      <c r="AS30" s="316" t="str">
        <f t="shared" si="13"/>
        <v/>
      </c>
      <c r="AT30" s="309" t="str">
        <f t="shared" si="30"/>
        <v/>
      </c>
      <c r="AU30" s="285" t="str">
        <f t="shared" si="27"/>
        <v/>
      </c>
      <c r="AV30" s="597"/>
      <c r="AW30" s="527" t="str">
        <f t="shared" si="28"/>
        <v/>
      </c>
      <c r="AX30" s="291" t="str">
        <f t="shared" si="29"/>
        <v/>
      </c>
      <c r="AY30" s="292" t="str">
        <f t="shared" si="25"/>
        <v/>
      </c>
      <c r="AZ30" s="317" t="str">
        <f t="shared" si="14"/>
        <v/>
      </c>
      <c r="BA30" s="316" t="str">
        <f t="shared" si="26"/>
        <v/>
      </c>
      <c r="BB30" s="285" t="str">
        <f t="shared" si="15"/>
        <v/>
      </c>
    </row>
    <row r="31" spans="1:54" ht="24" customHeight="1">
      <c r="A31" s="38" t="str">
        <f>IF(E31&lt;&gt;"",SUMPRODUCT(--(G31&gt;$G$4:$G$40))+COUNTIF($G$4:G31,G31),"")</f>
        <v/>
      </c>
      <c r="B31" s="38" t="str">
        <f>IF(E31&lt;&gt;"",SUMPRODUCT(--(I31&gt;$I$4:$I$40))+COUNTIF($I$4:I31,I31),"")</f>
        <v/>
      </c>
      <c r="C31" s="38" t="str">
        <f t="shared" si="16"/>
        <v/>
      </c>
      <c r="D31" s="38" t="str">
        <f>IF(E31&lt;&gt;"",COUNTIFS(A:A,"&lt;"&amp;A31)+COUNTIF($A$4:A31,A31),"")</f>
        <v/>
      </c>
      <c r="E31" s="278" t="str">
        <f>IF(Liste!B30&lt;&gt;"",Liste!B30,"")</f>
        <v/>
      </c>
      <c r="F31" s="279" t="str">
        <f>IF(Liste!C30&lt;&gt;"",Liste!C30,"")</f>
        <v/>
      </c>
      <c r="G31" s="280" t="str">
        <f>IF(E31&lt;&gt;"",IF(Perf.Sprint!$AK31&lt;&gt;"",Perf.Sprint!$AK31,100),"")</f>
        <v/>
      </c>
      <c r="H31" s="281" t="str">
        <f>IF(F31&lt;&gt;"",IF(Perf.Sprint!$AM31&lt;&gt;"",Perf.Sprint!$AM31,100),"")</f>
        <v/>
      </c>
      <c r="I31" s="280" t="str">
        <f>IF(E31&lt;&gt;"",IF(Perf.Sprint!$AX31&lt;&gt;"",Perf.Sprint!$AX31,100),"")</f>
        <v/>
      </c>
      <c r="J31" s="281" t="str">
        <f>IF(H31&lt;&gt;"",IF(Perf.Sprint!$AZ31&lt;&gt;"",Perf.Sprint!$AZ31,100),"")</f>
        <v/>
      </c>
      <c r="K31" s="263">
        <v>28</v>
      </c>
      <c r="L31" s="20" t="str">
        <f t="array" ref="L31">IF(ROWS($2:29)&lt;=COUNTIF($F$4:$F$40,"F"),INDEX($E$4:$E$40,SMALL(IF($F$4:$F$40="F",MATCH($E$4:$E$40,$E$4:$E$40,0)),ROWS($2:29))),"")</f>
        <v/>
      </c>
      <c r="M31" s="38" t="str">
        <f t="shared" si="0"/>
        <v/>
      </c>
      <c r="N31" s="38" t="str">
        <f t="shared" si="1"/>
        <v/>
      </c>
      <c r="O31" s="38" t="str">
        <f t="shared" si="17"/>
        <v/>
      </c>
      <c r="P31" s="38" t="str">
        <f t="shared" si="2"/>
        <v/>
      </c>
      <c r="Q31" s="38" t="str">
        <f t="shared" si="18"/>
        <v/>
      </c>
      <c r="R31" s="38" t="str">
        <f>IF(L31&lt;&gt;"",SUMPRODUCT(--(N31&gt;$N$4:$N$40))+COUNTIF($N$4:N31,N31),"")</f>
        <v/>
      </c>
      <c r="S31" s="38" t="str">
        <f>IF(L31&lt;&gt;"",SUMPRODUCT(--(P31&gt;$P$4:$P$40))+COUNTIF($P$4:P31,P31),"")</f>
        <v/>
      </c>
      <c r="T31" s="307" t="str">
        <f t="shared" si="19"/>
        <v/>
      </c>
      <c r="U31" s="38" t="str">
        <f>IF(T31&lt;&gt;"",SUMPRODUCT(--(T31&gt;$T$4:$T$40))+COUNTIF(T$4:$T31,T31),"")</f>
        <v/>
      </c>
      <c r="V31" s="282"/>
      <c r="W31" s="527" t="str">
        <f t="shared" si="20"/>
        <v/>
      </c>
      <c r="X31" s="288" t="str">
        <f t="shared" si="31"/>
        <v/>
      </c>
      <c r="Y31" s="289" t="str">
        <f t="shared" si="3"/>
        <v/>
      </c>
      <c r="Z31" s="290" t="str">
        <f t="shared" si="4"/>
        <v/>
      </c>
      <c r="AA31" s="313" t="str">
        <f t="shared" si="5"/>
        <v/>
      </c>
      <c r="AB31" s="309" t="str">
        <f t="shared" si="21"/>
        <v/>
      </c>
      <c r="AC31" s="290" t="str">
        <f t="shared" si="34"/>
        <v/>
      </c>
      <c r="AD31" s="20" t="str">
        <f t="array" ref="AD31">IF(ROWS($2:29)&lt;=COUNTIF($F$4:$F$40,"M"),INDEX($E$4:$E$40,SMALL(IF($F$4:$F$40="M",MATCH($E$4:$E$40,$E$4:$E$40,0)),ROWS($2:29))),"")</f>
        <v/>
      </c>
      <c r="AE31" s="38" t="str">
        <f t="shared" si="35"/>
        <v/>
      </c>
      <c r="AF31" s="38" t="str">
        <f t="shared" si="8"/>
        <v/>
      </c>
      <c r="AG31" s="38" t="str">
        <f t="shared" si="22"/>
        <v/>
      </c>
      <c r="AH31" s="38" t="str">
        <f t="shared" si="9"/>
        <v/>
      </c>
      <c r="AI31" s="38" t="str">
        <f t="shared" si="23"/>
        <v/>
      </c>
      <c r="AJ31" s="38" t="str">
        <f>IF(AD31&lt;&gt;"",SUMPRODUCT(--(AF31&gt;$AF$4:$AF$40))+COUNTIF($AF$4:AF31,AF31),"")</f>
        <v/>
      </c>
      <c r="AK31" s="38" t="str">
        <f>IF(AD31&lt;&gt;"",SUMPRODUCT(--(AH31&gt;$AH$4:$AH$40))+COUNTIF($AH$4:AH31,AH31),"")</f>
        <v/>
      </c>
      <c r="AL31" s="307" t="str">
        <f t="shared" si="24"/>
        <v/>
      </c>
      <c r="AM31" s="38" t="str">
        <f>IF(AD31&lt;&gt;"",COUNTIFS(AJ:AJ,"&lt;"&amp;AJ31)+COUNTIF($AJ$4:AJ31,AJ31),"")</f>
        <v/>
      </c>
      <c r="AN31" s="282"/>
      <c r="AO31" s="527" t="str">
        <f t="shared" si="10"/>
        <v/>
      </c>
      <c r="AP31" s="288" t="str">
        <f t="shared" si="32"/>
        <v/>
      </c>
      <c r="AQ31" s="289" t="str">
        <f t="shared" si="11"/>
        <v/>
      </c>
      <c r="AR31" s="314" t="str">
        <f t="shared" si="33"/>
        <v/>
      </c>
      <c r="AS31" s="313" t="str">
        <f t="shared" si="13"/>
        <v/>
      </c>
      <c r="AT31" s="309" t="str">
        <f t="shared" si="30"/>
        <v/>
      </c>
      <c r="AU31" s="314" t="str">
        <f t="shared" si="27"/>
        <v/>
      </c>
      <c r="AV31" s="597"/>
      <c r="AW31" s="527" t="str">
        <f t="shared" si="28"/>
        <v/>
      </c>
      <c r="AX31" s="288" t="str">
        <f t="shared" si="29"/>
        <v/>
      </c>
      <c r="AY31" s="289" t="str">
        <f t="shared" si="25"/>
        <v/>
      </c>
      <c r="AZ31" s="315" t="str">
        <f t="shared" si="14"/>
        <v/>
      </c>
      <c r="BA31" s="313" t="str">
        <f t="shared" si="26"/>
        <v/>
      </c>
      <c r="BB31" s="290" t="str">
        <f t="shared" si="15"/>
        <v/>
      </c>
    </row>
    <row r="32" spans="1:54" ht="24" customHeight="1">
      <c r="A32" s="38" t="str">
        <f>IF(E32&lt;&gt;"",SUMPRODUCT(--(G32&gt;$G$4:$G$40))+COUNTIF($G$4:G32,G32),"")</f>
        <v/>
      </c>
      <c r="B32" s="38" t="str">
        <f>IF(E32&lt;&gt;"",SUMPRODUCT(--(I32&gt;$I$4:$I$40))+COUNTIF($I$4:I32,I32),"")</f>
        <v/>
      </c>
      <c r="C32" s="38" t="str">
        <f t="shared" si="16"/>
        <v/>
      </c>
      <c r="D32" s="38" t="str">
        <f>IF(E32&lt;&gt;"",COUNTIFS(A:A,"&lt;"&amp;A32)+COUNTIF($A$4:A32,A32),"")</f>
        <v/>
      </c>
      <c r="E32" s="278" t="str">
        <f>IF(Liste!B31&lt;&gt;"",Liste!B31,"")</f>
        <v/>
      </c>
      <c r="F32" s="279" t="str">
        <f>IF(Liste!C31&lt;&gt;"",Liste!C31,"")</f>
        <v/>
      </c>
      <c r="G32" s="280" t="str">
        <f>IF(E32&lt;&gt;"",IF(Perf.Sprint!$AK32&lt;&gt;"",Perf.Sprint!$AK32,100),"")</f>
        <v/>
      </c>
      <c r="H32" s="281" t="str">
        <f>IF(F32&lt;&gt;"",IF(Perf.Sprint!$AM32&lt;&gt;"",Perf.Sprint!$AM32,100),"")</f>
        <v/>
      </c>
      <c r="I32" s="280" t="str">
        <f>IF(E32&lt;&gt;"",IF(Perf.Sprint!$AX32&lt;&gt;"",Perf.Sprint!$AX32,100),"")</f>
        <v/>
      </c>
      <c r="J32" s="281" t="str">
        <f>IF(H32&lt;&gt;"",IF(Perf.Sprint!$AZ32&lt;&gt;"",Perf.Sprint!$AZ32,100),"")</f>
        <v/>
      </c>
      <c r="K32" s="263">
        <v>29</v>
      </c>
      <c r="L32" s="20" t="str">
        <f t="array" ref="L32">IF(ROWS($2:30)&lt;=COUNTIF($F$4:$F$40,"F"),INDEX($E$4:$E$40,SMALL(IF($F$4:$F$40="F",MATCH($E$4:$E$40,$E$4:$E$40,0)),ROWS($2:30))),"")</f>
        <v/>
      </c>
      <c r="M32" s="38" t="str">
        <f t="shared" si="0"/>
        <v/>
      </c>
      <c r="N32" s="38" t="str">
        <f t="shared" si="1"/>
        <v/>
      </c>
      <c r="O32" s="38" t="str">
        <f t="shared" si="17"/>
        <v/>
      </c>
      <c r="P32" s="38" t="str">
        <f t="shared" si="2"/>
        <v/>
      </c>
      <c r="Q32" s="38" t="str">
        <f t="shared" si="18"/>
        <v/>
      </c>
      <c r="R32" s="38" t="str">
        <f>IF(L32&lt;&gt;"",SUMPRODUCT(--(N32&gt;$N$4:$N$40))+COUNTIF($N$4:N32,N32),"")</f>
        <v/>
      </c>
      <c r="S32" s="38" t="str">
        <f>IF(L32&lt;&gt;"",SUMPRODUCT(--(P32&gt;$P$4:$P$40))+COUNTIF($P$4:P32,P32),"")</f>
        <v/>
      </c>
      <c r="T32" s="307" t="str">
        <f t="shared" si="19"/>
        <v/>
      </c>
      <c r="U32" s="38" t="str">
        <f>IF(T32&lt;&gt;"",SUMPRODUCT(--(T32&gt;$T$4:$T$40))+COUNTIF(T$4:$T32,T32),"")</f>
        <v/>
      </c>
      <c r="V32" s="282"/>
      <c r="W32" s="527" t="str">
        <f t="shared" si="20"/>
        <v/>
      </c>
      <c r="X32" s="291" t="str">
        <f t="shared" si="31"/>
        <v/>
      </c>
      <c r="Y32" s="292" t="str">
        <f t="shared" si="3"/>
        <v/>
      </c>
      <c r="Z32" s="285" t="str">
        <f t="shared" si="4"/>
        <v/>
      </c>
      <c r="AA32" s="316" t="str">
        <f t="shared" si="5"/>
        <v/>
      </c>
      <c r="AB32" s="309" t="str">
        <f t="shared" si="21"/>
        <v/>
      </c>
      <c r="AC32" s="285" t="str">
        <f t="shared" si="34"/>
        <v/>
      </c>
      <c r="AD32" s="20" t="str">
        <f t="array" ref="AD32">IF(ROWS($2:30)&lt;=COUNTIF($F$4:$F$40,"M"),INDEX($E$4:$E$40,SMALL(IF($F$4:$F$40="M",MATCH($E$4:$E$40,$E$4:$E$40,0)),ROWS($2:30))),"")</f>
        <v/>
      </c>
      <c r="AE32" s="38" t="str">
        <f t="shared" si="35"/>
        <v/>
      </c>
      <c r="AF32" s="38" t="str">
        <f t="shared" si="8"/>
        <v/>
      </c>
      <c r="AG32" s="38" t="str">
        <f t="shared" si="22"/>
        <v/>
      </c>
      <c r="AH32" s="38" t="str">
        <f t="shared" si="9"/>
        <v/>
      </c>
      <c r="AI32" s="38" t="str">
        <f t="shared" si="23"/>
        <v/>
      </c>
      <c r="AJ32" s="38" t="str">
        <f>IF(AD32&lt;&gt;"",SUMPRODUCT(--(AF32&gt;$AF$4:$AF$40))+COUNTIF($AF$4:AF32,AF32),"")</f>
        <v/>
      </c>
      <c r="AK32" s="38" t="str">
        <f>IF(AD32&lt;&gt;"",SUMPRODUCT(--(AH32&gt;$AH$4:$AH$40))+COUNTIF($AH$4:AH32,AH32),"")</f>
        <v/>
      </c>
      <c r="AL32" s="307" t="str">
        <f t="shared" si="24"/>
        <v/>
      </c>
      <c r="AM32" s="38" t="str">
        <f>IF(AD32&lt;&gt;"",COUNTIFS(AJ:AJ,"&lt;"&amp;AJ32)+COUNTIF($AJ$4:AJ32,AJ32),"")</f>
        <v/>
      </c>
      <c r="AN32" s="282"/>
      <c r="AO32" s="527" t="str">
        <f t="shared" si="10"/>
        <v/>
      </c>
      <c r="AP32" s="291" t="str">
        <f t="shared" si="32"/>
        <v/>
      </c>
      <c r="AQ32" s="292" t="str">
        <f t="shared" si="11"/>
        <v/>
      </c>
      <c r="AR32" s="285" t="str">
        <f t="shared" si="33"/>
        <v/>
      </c>
      <c r="AS32" s="316" t="str">
        <f t="shared" si="13"/>
        <v/>
      </c>
      <c r="AT32" s="309" t="str">
        <f t="shared" si="30"/>
        <v/>
      </c>
      <c r="AU32" s="285" t="str">
        <f t="shared" si="27"/>
        <v/>
      </c>
      <c r="AV32" s="597"/>
      <c r="AW32" s="527" t="str">
        <f t="shared" si="28"/>
        <v/>
      </c>
      <c r="AX32" s="291" t="str">
        <f t="shared" si="29"/>
        <v/>
      </c>
      <c r="AY32" s="292" t="str">
        <f t="shared" si="25"/>
        <v/>
      </c>
      <c r="AZ32" s="317" t="str">
        <f t="shared" si="14"/>
        <v/>
      </c>
      <c r="BA32" s="316" t="str">
        <f t="shared" si="26"/>
        <v/>
      </c>
      <c r="BB32" s="285" t="str">
        <f t="shared" si="15"/>
        <v/>
      </c>
    </row>
    <row r="33" spans="1:54" ht="24" customHeight="1">
      <c r="A33" s="38" t="str">
        <f>IF(E33&lt;&gt;"",SUMPRODUCT(--(G33&gt;$G$4:$G$40))+COUNTIF($G$4:G33,G33),"")</f>
        <v/>
      </c>
      <c r="B33" s="38" t="str">
        <f>IF(E33&lt;&gt;"",SUMPRODUCT(--(I33&gt;$I$4:$I$40))+COUNTIF($I$4:I33,I33),"")</f>
        <v/>
      </c>
      <c r="C33" s="38" t="str">
        <f t="shared" si="16"/>
        <v/>
      </c>
      <c r="D33" s="38" t="str">
        <f>IF(E33&lt;&gt;"",COUNTIFS(A:A,"&lt;"&amp;A33)+COUNTIF($A$4:A33,A33),"")</f>
        <v/>
      </c>
      <c r="E33" s="278" t="str">
        <f>IF(Liste!B32&lt;&gt;"",Liste!B32,"")</f>
        <v/>
      </c>
      <c r="F33" s="279" t="str">
        <f>IF(Liste!C32&lt;&gt;"",Liste!C32,"")</f>
        <v/>
      </c>
      <c r="G33" s="280" t="str">
        <f>IF(E33&lt;&gt;"",IF(Perf.Sprint!$AK33&lt;&gt;"",Perf.Sprint!$AK33,100),"")</f>
        <v/>
      </c>
      <c r="H33" s="281" t="str">
        <f>IF(F33&lt;&gt;"",IF(Perf.Sprint!$AM33&lt;&gt;"",Perf.Sprint!$AM33,100),"")</f>
        <v/>
      </c>
      <c r="I33" s="280" t="str">
        <f>IF(E33&lt;&gt;"",IF(Perf.Sprint!$AX33&lt;&gt;"",Perf.Sprint!$AX33,100),"")</f>
        <v/>
      </c>
      <c r="J33" s="281" t="str">
        <f>IF(H33&lt;&gt;"",IF(Perf.Sprint!$AZ33&lt;&gt;"",Perf.Sprint!$AZ33,100),"")</f>
        <v/>
      </c>
      <c r="K33" s="263">
        <v>30</v>
      </c>
      <c r="L33" s="20" t="str">
        <f t="array" ref="L33">IF(ROWS($2:31)&lt;=COUNTIF($F$4:$F$40,"F"),INDEX($E$4:$E$40,SMALL(IF($F$4:$F$40="F",MATCH($E$4:$E$40,$E$4:$E$40,0)),ROWS($2:31))),"")</f>
        <v/>
      </c>
      <c r="M33" s="38" t="str">
        <f t="shared" si="0"/>
        <v/>
      </c>
      <c r="N33" s="38" t="str">
        <f t="shared" si="1"/>
        <v/>
      </c>
      <c r="O33" s="38" t="str">
        <f t="shared" si="17"/>
        <v/>
      </c>
      <c r="P33" s="38" t="str">
        <f t="shared" si="2"/>
        <v/>
      </c>
      <c r="Q33" s="38" t="str">
        <f t="shared" si="18"/>
        <v/>
      </c>
      <c r="R33" s="38" t="str">
        <f>IF(L33&lt;&gt;"",SUMPRODUCT(--(N33&gt;$N$4:$N$40))+COUNTIF($N$4:N33,N33),"")</f>
        <v/>
      </c>
      <c r="S33" s="38" t="str">
        <f>IF(L33&lt;&gt;"",SUMPRODUCT(--(P33&gt;$P$4:$P$40))+COUNTIF($P$4:P33,P33),"")</f>
        <v/>
      </c>
      <c r="T33" s="307" t="str">
        <f t="shared" si="19"/>
        <v/>
      </c>
      <c r="U33" s="38" t="str">
        <f>IF(T33&lt;&gt;"",SUMPRODUCT(--(T33&gt;$T$4:$T$40))+COUNTIF(T$4:$T33,T33),"")</f>
        <v/>
      </c>
      <c r="V33" s="282"/>
      <c r="W33" s="527" t="str">
        <f t="shared" si="20"/>
        <v/>
      </c>
      <c r="X33" s="288" t="str">
        <f t="shared" si="31"/>
        <v/>
      </c>
      <c r="Y33" s="289" t="str">
        <f t="shared" si="3"/>
        <v/>
      </c>
      <c r="Z33" s="290" t="str">
        <f t="shared" si="4"/>
        <v/>
      </c>
      <c r="AA33" s="313" t="str">
        <f t="shared" si="5"/>
        <v/>
      </c>
      <c r="AB33" s="309" t="str">
        <f t="shared" si="21"/>
        <v/>
      </c>
      <c r="AC33" s="290" t="str">
        <f t="shared" si="34"/>
        <v/>
      </c>
      <c r="AD33" s="20" t="str">
        <f t="array" ref="AD33">IF(ROWS($2:31)&lt;=COUNTIF($F$4:$F$40,"M"),INDEX($E$4:$E$40,SMALL(IF($F$4:$F$40="M",MATCH($E$4:$E$40,$E$4:$E$40,0)),ROWS($2:31))),"")</f>
        <v/>
      </c>
      <c r="AE33" s="38" t="str">
        <f t="shared" si="35"/>
        <v/>
      </c>
      <c r="AF33" s="38" t="str">
        <f t="shared" si="8"/>
        <v/>
      </c>
      <c r="AG33" s="38" t="str">
        <f t="shared" si="22"/>
        <v/>
      </c>
      <c r="AH33" s="38" t="str">
        <f t="shared" si="9"/>
        <v/>
      </c>
      <c r="AI33" s="38" t="str">
        <f t="shared" si="23"/>
        <v/>
      </c>
      <c r="AJ33" s="38" t="str">
        <f>IF(AD33&lt;&gt;"",SUMPRODUCT(--(AF33&gt;$AF$4:$AF$40))+COUNTIF($AF$4:AF33,AF33),"")</f>
        <v/>
      </c>
      <c r="AK33" s="38" t="str">
        <f>IF(AD33&lt;&gt;"",SUMPRODUCT(--(AH33&gt;$AH$4:$AH$40))+COUNTIF($AH$4:AH33,AH33),"")</f>
        <v/>
      </c>
      <c r="AL33" s="307" t="str">
        <f t="shared" si="24"/>
        <v/>
      </c>
      <c r="AM33" s="38" t="str">
        <f>IF(AD33&lt;&gt;"",COUNTIFS(AJ:AJ,"&lt;"&amp;AJ33)+COUNTIF($AJ$4:AJ33,AJ33),"")</f>
        <v/>
      </c>
      <c r="AN33" s="282"/>
      <c r="AO33" s="527" t="str">
        <f t="shared" si="10"/>
        <v/>
      </c>
      <c r="AP33" s="288" t="str">
        <f t="shared" si="32"/>
        <v/>
      </c>
      <c r="AQ33" s="289" t="str">
        <f t="shared" si="11"/>
        <v/>
      </c>
      <c r="AR33" s="314" t="str">
        <f t="shared" si="33"/>
        <v/>
      </c>
      <c r="AS33" s="313" t="str">
        <f t="shared" si="13"/>
        <v/>
      </c>
      <c r="AT33" s="309" t="str">
        <f t="shared" si="30"/>
        <v/>
      </c>
      <c r="AU33" s="314" t="str">
        <f t="shared" si="27"/>
        <v/>
      </c>
      <c r="AV33" s="597"/>
      <c r="AW33" s="527" t="str">
        <f t="shared" si="28"/>
        <v/>
      </c>
      <c r="AX33" s="288" t="str">
        <f t="shared" si="29"/>
        <v/>
      </c>
      <c r="AY33" s="289" t="str">
        <f t="shared" si="25"/>
        <v/>
      </c>
      <c r="AZ33" s="315" t="str">
        <f t="shared" si="14"/>
        <v/>
      </c>
      <c r="BA33" s="313" t="str">
        <f t="shared" si="26"/>
        <v/>
      </c>
      <c r="BB33" s="290" t="str">
        <f t="shared" si="15"/>
        <v/>
      </c>
    </row>
    <row r="34" spans="1:54" ht="24" customHeight="1">
      <c r="A34" s="38" t="str">
        <f>IF(E34&lt;&gt;"",SUMPRODUCT(--(G34&gt;$G$4:$G$40))+COUNTIF($G$4:G34,G34),"")</f>
        <v/>
      </c>
      <c r="B34" s="38" t="str">
        <f>IF(E34&lt;&gt;"",SUMPRODUCT(--(I34&gt;$I$4:$I$40))+COUNTIF($I$4:I34,I34),"")</f>
        <v/>
      </c>
      <c r="C34" s="38" t="str">
        <f t="shared" si="16"/>
        <v/>
      </c>
      <c r="D34" s="38" t="str">
        <f>IF(E34&lt;&gt;"",COUNTIFS(A:A,"&lt;"&amp;A34)+COUNTIF($A$4:A34,A34),"")</f>
        <v/>
      </c>
      <c r="E34" s="278" t="str">
        <f>IF(Liste!B33&lt;&gt;"",Liste!B33,"")</f>
        <v/>
      </c>
      <c r="F34" s="279" t="str">
        <f>IF(Liste!C33&lt;&gt;"",Liste!C33,"")</f>
        <v/>
      </c>
      <c r="G34" s="280" t="str">
        <f>IF(E34&lt;&gt;"",IF(Perf.Sprint!$AK34&lt;&gt;"",Perf.Sprint!$AK34,100),"")</f>
        <v/>
      </c>
      <c r="H34" s="281" t="str">
        <f>IF(F34&lt;&gt;"",IF(Perf.Sprint!$AM34&lt;&gt;"",Perf.Sprint!$AM34,100),"")</f>
        <v/>
      </c>
      <c r="I34" s="280" t="str">
        <f>IF(E34&lt;&gt;"",IF(Perf.Sprint!$AX34&lt;&gt;"",Perf.Sprint!$AX34,100),"")</f>
        <v/>
      </c>
      <c r="J34" s="281" t="str">
        <f>IF(H34&lt;&gt;"",IF(Perf.Sprint!$AZ34&lt;&gt;"",Perf.Sprint!$AZ34,100),"")</f>
        <v/>
      </c>
      <c r="K34" s="263">
        <v>31</v>
      </c>
      <c r="L34" s="20" t="str">
        <f t="array" ref="L34">IF(ROWS($2:32)&lt;=COUNTIF($F$4:$F$40,"F"),INDEX($E$4:$E$40,SMALL(IF($F$4:$F$40="F",MATCH($E$4:$E$40,$E$4:$E$40,0)),ROWS($2:32))),"")</f>
        <v/>
      </c>
      <c r="M34" s="38" t="str">
        <f t="shared" si="0"/>
        <v/>
      </c>
      <c r="N34" s="38" t="str">
        <f t="shared" si="1"/>
        <v/>
      </c>
      <c r="O34" s="38" t="str">
        <f t="shared" si="17"/>
        <v/>
      </c>
      <c r="P34" s="38" t="str">
        <f t="shared" si="2"/>
        <v/>
      </c>
      <c r="Q34" s="38" t="str">
        <f t="shared" si="18"/>
        <v/>
      </c>
      <c r="R34" s="38" t="str">
        <f>IF(L34&lt;&gt;"",SUMPRODUCT(--(N34&gt;$N$4:$N$40))+COUNTIF($N$4:N34,N34),"")</f>
        <v/>
      </c>
      <c r="S34" s="38" t="str">
        <f>IF(L34&lt;&gt;"",SUMPRODUCT(--(P34&gt;$P$4:$P$40))+COUNTIF($P$4:P34,P34),"")</f>
        <v/>
      </c>
      <c r="T34" s="307" t="str">
        <f t="shared" si="19"/>
        <v/>
      </c>
      <c r="U34" s="38" t="str">
        <f>IF(T34&lt;&gt;"",SUMPRODUCT(--(T34&gt;$T$4:$T$40))+COUNTIF(T$4:$T34,T34),"")</f>
        <v/>
      </c>
      <c r="V34" s="282"/>
      <c r="W34" s="527" t="str">
        <f t="shared" si="20"/>
        <v/>
      </c>
      <c r="X34" s="291" t="str">
        <f t="shared" si="31"/>
        <v/>
      </c>
      <c r="Y34" s="292" t="str">
        <f t="shared" si="3"/>
        <v/>
      </c>
      <c r="Z34" s="285" t="str">
        <f t="shared" si="4"/>
        <v/>
      </c>
      <c r="AA34" s="316" t="str">
        <f t="shared" si="5"/>
        <v/>
      </c>
      <c r="AB34" s="309" t="str">
        <f t="shared" si="21"/>
        <v/>
      </c>
      <c r="AC34" s="285" t="str">
        <f t="shared" si="34"/>
        <v/>
      </c>
      <c r="AD34" s="20" t="str">
        <f t="array" ref="AD34">IF(ROWS($2:32)&lt;=COUNTIF($F$4:$F$40,"M"),INDEX($E$4:$E$40,SMALL(IF($F$4:$F$40="M",MATCH($E$4:$E$40,$E$4:$E$40,0)),ROWS($2:32))),"")</f>
        <v/>
      </c>
      <c r="AE34" s="38" t="str">
        <f t="shared" si="35"/>
        <v/>
      </c>
      <c r="AF34" s="38" t="str">
        <f t="shared" si="8"/>
        <v/>
      </c>
      <c r="AG34" s="38" t="str">
        <f t="shared" si="22"/>
        <v/>
      </c>
      <c r="AH34" s="38" t="str">
        <f t="shared" si="9"/>
        <v/>
      </c>
      <c r="AI34" s="38" t="str">
        <f t="shared" si="23"/>
        <v/>
      </c>
      <c r="AJ34" s="38" t="str">
        <f>IF(AD34&lt;&gt;"",SUMPRODUCT(--(AF34&gt;$AF$4:$AF$40))+COUNTIF($AF$4:AF34,AF34),"")</f>
        <v/>
      </c>
      <c r="AK34" s="38" t="str">
        <f>IF(AD34&lt;&gt;"",SUMPRODUCT(--(AH34&gt;$AH$4:$AH$40))+COUNTIF($AH$4:AH34,AH34),"")</f>
        <v/>
      </c>
      <c r="AL34" s="307" t="str">
        <f t="shared" si="24"/>
        <v/>
      </c>
      <c r="AM34" s="38" t="str">
        <f>IF(AD34&lt;&gt;"",COUNTIFS(AJ:AJ,"&lt;"&amp;AJ34)+COUNTIF($AJ$4:AJ34,AJ34),"")</f>
        <v/>
      </c>
      <c r="AN34" s="282"/>
      <c r="AO34" s="527" t="str">
        <f t="shared" si="10"/>
        <v/>
      </c>
      <c r="AP34" s="291" t="str">
        <f t="shared" si="32"/>
        <v/>
      </c>
      <c r="AQ34" s="292" t="str">
        <f t="shared" si="11"/>
        <v/>
      </c>
      <c r="AR34" s="285" t="str">
        <f t="shared" si="33"/>
        <v/>
      </c>
      <c r="AS34" s="316" t="str">
        <f t="shared" si="13"/>
        <v/>
      </c>
      <c r="AT34" s="309" t="str">
        <f t="shared" si="30"/>
        <v/>
      </c>
      <c r="AU34" s="285" t="str">
        <f t="shared" si="27"/>
        <v/>
      </c>
      <c r="AV34" s="597"/>
      <c r="AW34" s="527" t="str">
        <f t="shared" si="28"/>
        <v/>
      </c>
      <c r="AX34" s="291" t="str">
        <f t="shared" si="29"/>
        <v/>
      </c>
      <c r="AY34" s="292" t="str">
        <f t="shared" si="25"/>
        <v/>
      </c>
      <c r="AZ34" s="317" t="str">
        <f t="shared" si="14"/>
        <v/>
      </c>
      <c r="BA34" s="316" t="str">
        <f t="shared" si="26"/>
        <v/>
      </c>
      <c r="BB34" s="285" t="str">
        <f>IF(BA34=100,"",INDEX($J$4:$J$40,MATCH($AX34,$E$4:$E$40,0)))</f>
        <v/>
      </c>
    </row>
    <row r="35" spans="1:54" ht="24" customHeight="1">
      <c r="A35" s="38" t="str">
        <f>IF(E35&lt;&gt;"",SUMPRODUCT(--(G35&gt;$G$4:$G$40))+COUNTIF($G$4:G35,G35),"")</f>
        <v/>
      </c>
      <c r="B35" s="38" t="str">
        <f>IF(E35&lt;&gt;"",SUMPRODUCT(--(I35&gt;$I$4:$I$40))+COUNTIF($I$4:I35,I35),"")</f>
        <v/>
      </c>
      <c r="C35" s="38" t="str">
        <f t="shared" si="16"/>
        <v/>
      </c>
      <c r="D35" s="38" t="str">
        <f>IF(E35&lt;&gt;"",COUNTIFS(A:A,"&lt;"&amp;A35)+COUNTIF($A$4:A35,A35),"")</f>
        <v/>
      </c>
      <c r="E35" s="278" t="str">
        <f>IF(Liste!B34&lt;&gt;"",Liste!B34,"")</f>
        <v/>
      </c>
      <c r="F35" s="279" t="str">
        <f>IF(Liste!C34&lt;&gt;"",Liste!C34,"")</f>
        <v/>
      </c>
      <c r="G35" s="280" t="str">
        <f>IF(E35&lt;&gt;"",IF(Perf.Sprint!$AK35&lt;&gt;"",Perf.Sprint!$AK35,100),"")</f>
        <v/>
      </c>
      <c r="H35" s="281" t="str">
        <f>IF(F35&lt;&gt;"",IF(Perf.Sprint!$AM35&lt;&gt;"",Perf.Sprint!$AM35,100),"")</f>
        <v/>
      </c>
      <c r="I35" s="280" t="str">
        <f>IF(E35&lt;&gt;"",IF(Perf.Sprint!$AX35&lt;&gt;"",Perf.Sprint!$AX35,100),"")</f>
        <v/>
      </c>
      <c r="J35" s="281" t="str">
        <f>IF(H35&lt;&gt;"",IF(Perf.Sprint!$AZ35&lt;&gt;"",Perf.Sprint!$AZ35,100),"")</f>
        <v/>
      </c>
      <c r="K35" s="263">
        <v>32</v>
      </c>
      <c r="L35" s="20" t="str">
        <f t="array" ref="L35">IF(ROWS($2:33)&lt;=COUNTIF($F$4:$F$40,"F"),INDEX($E$4:$E$40,SMALL(IF($F$4:$F$40="F",MATCH($E$4:$E$40,$E$4:$E$40,0)),ROWS($2:33))),"")</f>
        <v/>
      </c>
      <c r="M35" s="38" t="str">
        <f t="shared" si="0"/>
        <v/>
      </c>
      <c r="N35" s="38" t="str">
        <f t="shared" si="1"/>
        <v/>
      </c>
      <c r="O35" s="38" t="str">
        <f t="shared" si="17"/>
        <v/>
      </c>
      <c r="P35" s="38" t="str">
        <f t="shared" si="2"/>
        <v/>
      </c>
      <c r="Q35" s="38" t="str">
        <f t="shared" si="18"/>
        <v/>
      </c>
      <c r="R35" s="38" t="str">
        <f>IF(L35&lt;&gt;"",SUMPRODUCT(--(N35&gt;$N$4:$N$40))+COUNTIF($N$4:N35,N35),"")</f>
        <v/>
      </c>
      <c r="S35" s="38" t="str">
        <f>IF(L35&lt;&gt;"",SUMPRODUCT(--(P35&gt;$P$4:$P$40))+COUNTIF($P$4:P35,P35),"")</f>
        <v/>
      </c>
      <c r="T35" s="307" t="str">
        <f t="shared" si="19"/>
        <v/>
      </c>
      <c r="U35" s="38" t="str">
        <f>IF(T35&lt;&gt;"",SUMPRODUCT(--(T35&gt;$T$4:$T$40))+COUNTIF(T$4:$T35,T35),"")</f>
        <v/>
      </c>
      <c r="V35" s="282"/>
      <c r="W35" s="527" t="str">
        <f t="shared" si="20"/>
        <v/>
      </c>
      <c r="X35" s="288" t="str">
        <f t="shared" si="31"/>
        <v/>
      </c>
      <c r="Y35" s="289" t="str">
        <f t="shared" si="3"/>
        <v/>
      </c>
      <c r="Z35" s="290" t="str">
        <f t="shared" si="4"/>
        <v/>
      </c>
      <c r="AA35" s="313" t="str">
        <f t="shared" si="5"/>
        <v/>
      </c>
      <c r="AB35" s="309" t="str">
        <f t="shared" si="21"/>
        <v/>
      </c>
      <c r="AC35" s="290" t="str">
        <f t="shared" si="34"/>
        <v/>
      </c>
      <c r="AD35" s="20" t="str">
        <f t="array" ref="AD35">IF(ROWS($2:33)&lt;=COUNTIF($F$4:$F$40,"M"),INDEX($E$4:$E$40,SMALL(IF($F$4:$F$40="M",MATCH($E$4:$E$40,$E$4:$E$40,0)),ROWS($2:33))),"")</f>
        <v/>
      </c>
      <c r="AE35" s="38" t="str">
        <f t="shared" si="35"/>
        <v/>
      </c>
      <c r="AF35" s="38" t="str">
        <f t="shared" si="8"/>
        <v/>
      </c>
      <c r="AG35" s="38" t="str">
        <f t="shared" si="22"/>
        <v/>
      </c>
      <c r="AH35" s="38" t="str">
        <f t="shared" si="9"/>
        <v/>
      </c>
      <c r="AI35" s="38" t="str">
        <f t="shared" si="23"/>
        <v/>
      </c>
      <c r="AJ35" s="38" t="str">
        <f>IF(AD35&lt;&gt;"",SUMPRODUCT(--(AF35&gt;$AF$4:$AF$40))+COUNTIF($AF$4:AF35,AF35),"")</f>
        <v/>
      </c>
      <c r="AK35" s="38" t="str">
        <f>IF(AD35&lt;&gt;"",SUMPRODUCT(--(AH35&gt;$AH$4:$AH$40))+COUNTIF($AH$4:AH35,AH35),"")</f>
        <v/>
      </c>
      <c r="AL35" s="307" t="str">
        <f t="shared" si="24"/>
        <v/>
      </c>
      <c r="AM35" s="38" t="str">
        <f>IF(AD35&lt;&gt;"",COUNTIFS(AJ:AJ,"&lt;"&amp;AJ35)+COUNTIF($AJ$4:AJ35,AJ35),"")</f>
        <v/>
      </c>
      <c r="AN35" s="282"/>
      <c r="AO35" s="527" t="str">
        <f t="shared" si="10"/>
        <v/>
      </c>
      <c r="AP35" s="288" t="str">
        <f t="shared" si="32"/>
        <v/>
      </c>
      <c r="AQ35" s="289" t="str">
        <f t="shared" si="11"/>
        <v/>
      </c>
      <c r="AR35" s="314" t="str">
        <f t="shared" si="33"/>
        <v/>
      </c>
      <c r="AS35" s="313" t="str">
        <f t="shared" si="13"/>
        <v/>
      </c>
      <c r="AT35" s="309" t="str">
        <f t="shared" si="30"/>
        <v/>
      </c>
      <c r="AU35" s="314" t="str">
        <f t="shared" si="27"/>
        <v/>
      </c>
      <c r="AV35" s="597"/>
      <c r="AW35" s="527" t="str">
        <f t="shared" si="28"/>
        <v/>
      </c>
      <c r="AX35" s="288" t="str">
        <f t="shared" si="29"/>
        <v/>
      </c>
      <c r="AY35" s="289" t="str">
        <f t="shared" si="25"/>
        <v/>
      </c>
      <c r="AZ35" s="315" t="str">
        <f t="shared" si="14"/>
        <v/>
      </c>
      <c r="BA35" s="313" t="str">
        <f t="shared" si="26"/>
        <v/>
      </c>
      <c r="BB35" s="290" t="str">
        <f t="shared" ref="BB35:BB40" si="36">IF(BA35=100,"",INDEX($J$4:$J$40,MATCH($AX35,$E$4:$E$40,0)))</f>
        <v/>
      </c>
    </row>
    <row r="36" spans="1:54" ht="24" customHeight="1">
      <c r="A36" s="38" t="str">
        <f>IF(E36&lt;&gt;"",SUMPRODUCT(--(G36&gt;$G$4:$G$40))+COUNTIF($G$4:G36,G36),"")</f>
        <v/>
      </c>
      <c r="B36" s="38" t="str">
        <f>IF(E36&lt;&gt;"",SUMPRODUCT(--(I36&gt;$I$4:$I$40))+COUNTIF($I$4:I36,I36),"")</f>
        <v/>
      </c>
      <c r="C36" s="38" t="str">
        <f t="shared" si="16"/>
        <v/>
      </c>
      <c r="D36" s="38" t="str">
        <f>IF(E36&lt;&gt;"",COUNTIFS(A:A,"&lt;"&amp;A36)+COUNTIF($A$4:A36,A36),"")</f>
        <v/>
      </c>
      <c r="E36" s="278" t="str">
        <f>IF(Liste!B35&lt;&gt;"",Liste!B35,"")</f>
        <v/>
      </c>
      <c r="F36" s="279" t="str">
        <f>IF(Liste!C35&lt;&gt;"",Liste!C35,"")</f>
        <v/>
      </c>
      <c r="G36" s="280" t="str">
        <f>IF(E36&lt;&gt;"",IF(Perf.Sprint!$AK36&lt;&gt;"",Perf.Sprint!$AK36,100),"")</f>
        <v/>
      </c>
      <c r="H36" s="281" t="str">
        <f>IF(F36&lt;&gt;"",IF(Perf.Sprint!$AM36&lt;&gt;"",Perf.Sprint!$AM36,100),"")</f>
        <v/>
      </c>
      <c r="I36" s="280" t="str">
        <f>IF(E36&lt;&gt;"",IF(Perf.Sprint!$AX36&lt;&gt;"",Perf.Sprint!$AX36,100),"")</f>
        <v/>
      </c>
      <c r="J36" s="281" t="str">
        <f>IF(H36&lt;&gt;"",IF(Perf.Sprint!$AZ36&lt;&gt;"",Perf.Sprint!$AZ36,100),"")</f>
        <v/>
      </c>
      <c r="K36" s="263">
        <v>33</v>
      </c>
      <c r="L36" s="20" t="str">
        <f t="array" ref="L36">IF(ROWS($2:34)&lt;=COUNTIF($F$4:$F$40,"F"),INDEX($E$4:$E$40,SMALL(IF($F$4:$F$40="F",MATCH($E$4:$E$40,$E$4:$E$40,0)),ROWS($2:34))),"")</f>
        <v/>
      </c>
      <c r="M36" s="38" t="str">
        <f t="shared" si="0"/>
        <v/>
      </c>
      <c r="N36" s="38" t="str">
        <f t="shared" si="1"/>
        <v/>
      </c>
      <c r="O36" s="38" t="str">
        <f t="shared" si="17"/>
        <v/>
      </c>
      <c r="P36" s="38" t="str">
        <f t="shared" si="2"/>
        <v/>
      </c>
      <c r="Q36" s="38" t="str">
        <f t="shared" si="18"/>
        <v/>
      </c>
      <c r="R36" s="38" t="str">
        <f>IF(L36&lt;&gt;"",SUMPRODUCT(--(N36&gt;$N$4:$N$40))+COUNTIF($N$4:N36,N36),"")</f>
        <v/>
      </c>
      <c r="S36" s="38" t="str">
        <f>IF(L36&lt;&gt;"",SUMPRODUCT(--(P36&gt;$P$4:$P$40))+COUNTIF($P$4:P36,P36),"")</f>
        <v/>
      </c>
      <c r="T36" s="307" t="str">
        <f t="shared" si="19"/>
        <v/>
      </c>
      <c r="U36" s="38" t="str">
        <f>IF(T36&lt;&gt;"",SUMPRODUCT(--(T36&gt;$T$4:$T$40))+COUNTIF(T$4:$T36,T36),"")</f>
        <v/>
      </c>
      <c r="V36" s="282"/>
      <c r="W36" s="527" t="str">
        <f t="shared" si="20"/>
        <v/>
      </c>
      <c r="X36" s="291" t="str">
        <f t="shared" si="31"/>
        <v/>
      </c>
      <c r="Y36" s="292" t="str">
        <f t="shared" si="3"/>
        <v/>
      </c>
      <c r="Z36" s="285" t="str">
        <f t="shared" si="4"/>
        <v/>
      </c>
      <c r="AA36" s="316" t="str">
        <f t="shared" si="5"/>
        <v/>
      </c>
      <c r="AB36" s="309" t="str">
        <f t="shared" si="21"/>
        <v/>
      </c>
      <c r="AC36" s="285" t="str">
        <f t="shared" si="34"/>
        <v/>
      </c>
      <c r="AD36" s="20" t="str">
        <f t="array" ref="AD36">IF(ROWS($2:34)&lt;=COUNTIF($F$4:$F$40,"M"),INDEX($E$4:$E$40,SMALL(IF($F$4:$F$40="M",MATCH($E$4:$E$40,$E$4:$E$40,0)),ROWS($2:34))),"")</f>
        <v/>
      </c>
      <c r="AE36" s="38" t="str">
        <f t="shared" si="35"/>
        <v/>
      </c>
      <c r="AF36" s="38" t="str">
        <f t="shared" si="8"/>
        <v/>
      </c>
      <c r="AG36" s="38" t="str">
        <f t="shared" si="22"/>
        <v/>
      </c>
      <c r="AH36" s="38" t="str">
        <f t="shared" si="9"/>
        <v/>
      </c>
      <c r="AI36" s="38" t="str">
        <f t="shared" si="23"/>
        <v/>
      </c>
      <c r="AJ36" s="38" t="str">
        <f>IF(AD36&lt;&gt;"",SUMPRODUCT(--(AF36&gt;$AF$4:$AF$40))+COUNTIF($AF$4:AF36,AF36),"")</f>
        <v/>
      </c>
      <c r="AK36" s="38" t="str">
        <f>IF(AD36&lt;&gt;"",SUMPRODUCT(--(AH36&gt;$AH$4:$AH$40))+COUNTIF($AH$4:AH36,AH36),"")</f>
        <v/>
      </c>
      <c r="AL36" s="307" t="str">
        <f t="shared" si="24"/>
        <v/>
      </c>
      <c r="AM36" s="38" t="str">
        <f>IF(AD36&lt;&gt;"",COUNTIFS(AJ:AJ,"&lt;"&amp;AJ36)+COUNTIF($AJ$4:AJ36,AJ36),"")</f>
        <v/>
      </c>
      <c r="AN36" s="282"/>
      <c r="AO36" s="527" t="str">
        <f t="shared" si="10"/>
        <v/>
      </c>
      <c r="AP36" s="291" t="str">
        <f t="shared" si="32"/>
        <v/>
      </c>
      <c r="AQ36" s="292" t="str">
        <f t="shared" si="11"/>
        <v/>
      </c>
      <c r="AR36" s="285" t="str">
        <f t="shared" si="33"/>
        <v/>
      </c>
      <c r="AS36" s="316" t="str">
        <f t="shared" si="13"/>
        <v/>
      </c>
      <c r="AT36" s="309" t="str">
        <f t="shared" si="30"/>
        <v/>
      </c>
      <c r="AU36" s="285" t="str">
        <f t="shared" si="27"/>
        <v/>
      </c>
      <c r="AV36" s="597"/>
      <c r="AW36" s="527" t="str">
        <f t="shared" si="28"/>
        <v/>
      </c>
      <c r="AX36" s="291" t="str">
        <f t="shared" si="29"/>
        <v/>
      </c>
      <c r="AY36" s="292" t="str">
        <f t="shared" si="25"/>
        <v/>
      </c>
      <c r="AZ36" s="317" t="str">
        <f t="shared" si="14"/>
        <v/>
      </c>
      <c r="BA36" s="316" t="str">
        <f t="shared" si="26"/>
        <v/>
      </c>
      <c r="BB36" s="285" t="str">
        <f t="shared" si="36"/>
        <v/>
      </c>
    </row>
    <row r="37" spans="1:54" ht="24" customHeight="1">
      <c r="A37" s="38" t="str">
        <f>IF(E37&lt;&gt;"",SUMPRODUCT(--(G37&gt;$G$4:$G$40))+COUNTIF($G$4:G37,G37),"")</f>
        <v/>
      </c>
      <c r="B37" s="38" t="str">
        <f>IF(E37&lt;&gt;"",SUMPRODUCT(--(I37&gt;$I$4:$I$40))+COUNTIF($I$4:I37,I37),"")</f>
        <v/>
      </c>
      <c r="C37" s="38" t="str">
        <f t="shared" si="16"/>
        <v/>
      </c>
      <c r="D37" s="38" t="str">
        <f>IF(E37&lt;&gt;"",COUNTIFS(A:A,"&lt;"&amp;A37)+COUNTIF($A$4:A37,A37),"")</f>
        <v/>
      </c>
      <c r="E37" s="278" t="str">
        <f>IF(Liste!B36&lt;&gt;"",Liste!B36,"")</f>
        <v/>
      </c>
      <c r="F37" s="279" t="str">
        <f>IF(Liste!C36&lt;&gt;"",Liste!C36,"")</f>
        <v/>
      </c>
      <c r="G37" s="280" t="str">
        <f>IF(E37&lt;&gt;"",IF(Perf.Sprint!$AK37&lt;&gt;"",Perf.Sprint!$AK37,100),"")</f>
        <v/>
      </c>
      <c r="H37" s="281" t="str">
        <f>IF(F37&lt;&gt;"",IF(Perf.Sprint!$AM37&lt;&gt;"",Perf.Sprint!$AM37,100),"")</f>
        <v/>
      </c>
      <c r="I37" s="280" t="str">
        <f>IF(E37&lt;&gt;"",IF(Perf.Sprint!$AX37&lt;&gt;"",Perf.Sprint!$AX37,100),"")</f>
        <v/>
      </c>
      <c r="J37" s="281" t="str">
        <f>IF(H37&lt;&gt;"",IF(Perf.Sprint!$AZ37&lt;&gt;"",Perf.Sprint!$AZ37,100),"")</f>
        <v/>
      </c>
      <c r="K37" s="263">
        <v>34</v>
      </c>
      <c r="L37" s="20" t="str">
        <f t="array" ref="L37">IF(ROWS($2:35)&lt;=COUNTIF($F$4:$F$40,"F"),INDEX($E$4:$E$40,SMALL(IF($F$4:$F$40="F",MATCH($E$4:$E$40,$E$4:$E$40,0)),ROWS($2:35))),"")</f>
        <v/>
      </c>
      <c r="M37" s="38" t="str">
        <f t="shared" si="0"/>
        <v/>
      </c>
      <c r="N37" s="38" t="str">
        <f t="shared" si="1"/>
        <v/>
      </c>
      <c r="O37" s="38" t="str">
        <f t="shared" si="17"/>
        <v/>
      </c>
      <c r="P37" s="38" t="str">
        <f t="shared" si="2"/>
        <v/>
      </c>
      <c r="Q37" s="38" t="str">
        <f t="shared" si="18"/>
        <v/>
      </c>
      <c r="R37" s="38" t="str">
        <f>IF(L37&lt;&gt;"",SUMPRODUCT(--(N37&gt;$N$4:$N$40))+COUNTIF($N$4:N37,N37),"")</f>
        <v/>
      </c>
      <c r="S37" s="38" t="str">
        <f>IF(L37&lt;&gt;"",SUMPRODUCT(--(P37&gt;$P$4:$P$40))+COUNTIF($P$4:P37,P37),"")</f>
        <v/>
      </c>
      <c r="T37" s="307" t="str">
        <f t="shared" si="19"/>
        <v/>
      </c>
      <c r="U37" s="38" t="str">
        <f>IF(T37&lt;&gt;"",SUMPRODUCT(--(T37&gt;$T$4:$T$40))+COUNTIF(T$4:$T37,T37),"")</f>
        <v/>
      </c>
      <c r="V37" s="282"/>
      <c r="W37" s="527" t="str">
        <f t="shared" si="20"/>
        <v/>
      </c>
      <c r="X37" s="288" t="str">
        <f t="shared" si="31"/>
        <v/>
      </c>
      <c r="Y37" s="289" t="str">
        <f t="shared" si="3"/>
        <v/>
      </c>
      <c r="Z37" s="290" t="str">
        <f t="shared" si="4"/>
        <v/>
      </c>
      <c r="AA37" s="313" t="str">
        <f t="shared" si="5"/>
        <v/>
      </c>
      <c r="AB37" s="309" t="str">
        <f t="shared" si="21"/>
        <v/>
      </c>
      <c r="AC37" s="290" t="str">
        <f t="shared" si="34"/>
        <v/>
      </c>
      <c r="AD37" s="20" t="str">
        <f t="array" ref="AD37">IF(ROWS($2:35)&lt;=COUNTIF($F$4:$F$40,"M"),INDEX($E$4:$E$40,SMALL(IF($F$4:$F$40="M",MATCH($E$4:$E$40,$E$4:$E$40,0)),ROWS($2:35))),"")</f>
        <v/>
      </c>
      <c r="AE37" s="38" t="str">
        <f t="shared" si="35"/>
        <v/>
      </c>
      <c r="AF37" s="38" t="str">
        <f t="shared" si="8"/>
        <v/>
      </c>
      <c r="AG37" s="38" t="str">
        <f t="shared" si="22"/>
        <v/>
      </c>
      <c r="AH37" s="38" t="str">
        <f t="shared" si="9"/>
        <v/>
      </c>
      <c r="AI37" s="38" t="str">
        <f t="shared" si="23"/>
        <v/>
      </c>
      <c r="AJ37" s="38" t="str">
        <f>IF(AD37&lt;&gt;"",SUMPRODUCT(--(AF37&gt;$AF$4:$AF$40))+COUNTIF($AF$4:AF37,AF37),"")</f>
        <v/>
      </c>
      <c r="AK37" s="38" t="str">
        <f>IF(AD37&lt;&gt;"",SUMPRODUCT(--(AH37&gt;$AH$4:$AH$40))+COUNTIF($AH$4:AH37,AH37),"")</f>
        <v/>
      </c>
      <c r="AL37" s="307" t="str">
        <f t="shared" si="24"/>
        <v/>
      </c>
      <c r="AM37" s="38" t="str">
        <f>IF(AD37&lt;&gt;"",COUNTIFS(AJ:AJ,"&lt;"&amp;AJ37)+COUNTIF($AJ$4:AJ37,AJ37),"")</f>
        <v/>
      </c>
      <c r="AN37" s="282"/>
      <c r="AO37" s="527" t="str">
        <f t="shared" si="10"/>
        <v/>
      </c>
      <c r="AP37" s="288" t="str">
        <f t="shared" si="32"/>
        <v/>
      </c>
      <c r="AQ37" s="289" t="str">
        <f t="shared" si="11"/>
        <v/>
      </c>
      <c r="AR37" s="314" t="str">
        <f t="shared" si="33"/>
        <v/>
      </c>
      <c r="AS37" s="313" t="str">
        <f t="shared" si="13"/>
        <v/>
      </c>
      <c r="AT37" s="309" t="str">
        <f t="shared" si="30"/>
        <v/>
      </c>
      <c r="AU37" s="314" t="str">
        <f t="shared" si="27"/>
        <v/>
      </c>
      <c r="AV37" s="597"/>
      <c r="AW37" s="527" t="str">
        <f t="shared" si="28"/>
        <v/>
      </c>
      <c r="AX37" s="288" t="str">
        <f t="shared" si="29"/>
        <v/>
      </c>
      <c r="AY37" s="289" t="str">
        <f t="shared" si="25"/>
        <v/>
      </c>
      <c r="AZ37" s="315" t="str">
        <f t="shared" si="14"/>
        <v/>
      </c>
      <c r="BA37" s="313" t="str">
        <f t="shared" si="26"/>
        <v/>
      </c>
      <c r="BB37" s="290" t="str">
        <f t="shared" si="36"/>
        <v/>
      </c>
    </row>
    <row r="38" spans="1:54" ht="24" customHeight="1">
      <c r="A38" s="38" t="str">
        <f>IF(E38&lt;&gt;"",SUMPRODUCT(--(G38&gt;$G$4:$G$40))+COUNTIF($G$4:G38,G38),"")</f>
        <v/>
      </c>
      <c r="B38" s="38" t="str">
        <f>IF(E38&lt;&gt;"",SUMPRODUCT(--(I38&gt;$I$4:$I$40))+COUNTIF($I$4:I38,I38),"")</f>
        <v/>
      </c>
      <c r="C38" s="38" t="str">
        <f t="shared" si="16"/>
        <v/>
      </c>
      <c r="D38" s="38" t="str">
        <f>IF(E38&lt;&gt;"",COUNTIFS(A:A,"&lt;"&amp;A38)+COUNTIF($A$4:A38,A38),"")</f>
        <v/>
      </c>
      <c r="E38" s="278" t="str">
        <f>IF(Liste!B37&lt;&gt;"",Liste!B37,"")</f>
        <v/>
      </c>
      <c r="F38" s="279" t="str">
        <f>IF(Liste!C37&lt;&gt;"",Liste!C37,"")</f>
        <v/>
      </c>
      <c r="G38" s="280" t="str">
        <f>IF(E38&lt;&gt;"",IF(Perf.Sprint!$AK38&lt;&gt;"",Perf.Sprint!$AK38,100),"")</f>
        <v/>
      </c>
      <c r="H38" s="281" t="str">
        <f>IF(F38&lt;&gt;"",IF(Perf.Sprint!$AM38&lt;&gt;"",Perf.Sprint!$AM38,100),"")</f>
        <v/>
      </c>
      <c r="I38" s="280" t="str">
        <f>IF(E38&lt;&gt;"",IF(Perf.Sprint!$AX38&lt;&gt;"",Perf.Sprint!$AX38,100),"")</f>
        <v/>
      </c>
      <c r="J38" s="281" t="str">
        <f>IF(H38&lt;&gt;"",IF(Perf.Sprint!$AZ38&lt;&gt;"",Perf.Sprint!$AZ38,100),"")</f>
        <v/>
      </c>
      <c r="K38" s="263">
        <v>35</v>
      </c>
      <c r="L38" s="20" t="str">
        <f t="array" ref="L38">IF(ROWS($2:36)&lt;=COUNTIF($F$4:$F$40,"F"),INDEX($E$4:$E$40,SMALL(IF($F$4:$F$40="F",MATCH($E$4:$E$40,$E$4:$E$40,0)),ROWS($2:36))),"")</f>
        <v/>
      </c>
      <c r="M38" s="38" t="str">
        <f>INDEX($F$4:$F$40,MATCH($L38,$E$4:$E$40,0))</f>
        <v/>
      </c>
      <c r="N38" s="38" t="str">
        <f>INDEX($G$4:$G$40,MATCH($L38,$E$4:$E$40,0))</f>
        <v/>
      </c>
      <c r="O38" s="38" t="str">
        <f t="shared" si="17"/>
        <v/>
      </c>
      <c r="P38" s="38" t="str">
        <f>INDEX($I$4:$I$40,MATCH($L38,$E$4:$E$40,0))</f>
        <v/>
      </c>
      <c r="Q38" s="38" t="str">
        <f t="shared" si="18"/>
        <v/>
      </c>
      <c r="R38" s="38" t="str">
        <f>IF(L38&lt;&gt;"",SUMPRODUCT(--(N38&gt;$N$4:$N$40))+COUNTIF($N$4:N38,N38),"")</f>
        <v/>
      </c>
      <c r="S38" s="38" t="str">
        <f>IF(L38&lt;&gt;"",SUMPRODUCT(--(P38&gt;$P$4:$P$40))+COUNTIF($P$4:P38,P38),"")</f>
        <v/>
      </c>
      <c r="T38" s="307" t="str">
        <f t="shared" si="19"/>
        <v/>
      </c>
      <c r="U38" s="38" t="str">
        <f>IF(T38&lt;&gt;"",SUMPRODUCT(--(T38&gt;$T$4:$T$40))+COUNTIF(T$4:$T38,T38),"")</f>
        <v/>
      </c>
      <c r="V38" s="282"/>
      <c r="W38" s="527" t="str">
        <f t="shared" si="20"/>
        <v/>
      </c>
      <c r="X38" s="291" t="str">
        <f t="shared" si="31"/>
        <v/>
      </c>
      <c r="Y38" s="292" t="str">
        <f t="shared" si="3"/>
        <v/>
      </c>
      <c r="Z38" s="285" t="str">
        <f t="shared" si="4"/>
        <v/>
      </c>
      <c r="AA38" s="316" t="str">
        <f>IF(INDEX($P$4:$P$40,MATCH($X38,$L$4:$L$40,0))="100","",INDEX($P$4:$P$40,MATCH($X38,$L$4:$L$40,0)))</f>
        <v/>
      </c>
      <c r="AB38" s="309" t="str">
        <f t="shared" si="21"/>
        <v/>
      </c>
      <c r="AC38" s="285" t="str">
        <f t="shared" si="34"/>
        <v/>
      </c>
      <c r="AD38" s="20" t="str">
        <f t="array" ref="AD38">IF(ROWS($2:36)&lt;=COUNTIF($F$4:$F$40,"M"),INDEX($E$4:$E$40,SMALL(IF($F$4:$F$40="M",MATCH($E$4:$E$40,$E$4:$E$40,0)),ROWS($2:36))),"")</f>
        <v/>
      </c>
      <c r="AE38" s="38" t="str">
        <f>INDEX($F$4:$F$40,MATCH($AD38,$E$4:$E$40,0))</f>
        <v/>
      </c>
      <c r="AF38" s="38" t="str">
        <f>INDEX($G$4:$G$40,MATCH($AD38,$E$4:$E$40,0))</f>
        <v/>
      </c>
      <c r="AG38" s="38" t="str">
        <f t="shared" si="22"/>
        <v/>
      </c>
      <c r="AH38" s="38" t="str">
        <f>INDEX($I$4:$I$40,MATCH($AD38,$E$4:$E$40,0))</f>
        <v/>
      </c>
      <c r="AI38" s="38" t="str">
        <f t="shared" si="23"/>
        <v/>
      </c>
      <c r="AJ38" s="38" t="str">
        <f>IF(AD38&lt;&gt;"",SUMPRODUCT(--(AF38&gt;$AF$4:$AF$40))+COUNTIF($AF$4:AF38,AF38),"")</f>
        <v/>
      </c>
      <c r="AK38" s="38" t="str">
        <f>IF(AD38&lt;&gt;"",SUMPRODUCT(--(AH38&gt;$AH$4:$AH$40))+COUNTIF($AH$4:AH38,AH38),"")</f>
        <v/>
      </c>
      <c r="AL38" s="307" t="str">
        <f t="shared" si="24"/>
        <v/>
      </c>
      <c r="AM38" s="38" t="str">
        <f>IF(AD38&lt;&gt;"",COUNTIFS(AJ:AJ,"&lt;"&amp;AJ38)+COUNTIF($AJ$4:AJ38,AJ38),"")</f>
        <v/>
      </c>
      <c r="AN38" s="282"/>
      <c r="AO38" s="527" t="str">
        <f>IFERROR(SMALL($AJ$4:$AJ$40,$K38),"")</f>
        <v/>
      </c>
      <c r="AP38" s="291" t="str">
        <f t="shared" si="32"/>
        <v/>
      </c>
      <c r="AQ38" s="292" t="str">
        <f t="shared" si="11"/>
        <v/>
      </c>
      <c r="AR38" s="285" t="str">
        <f t="shared" si="33"/>
        <v/>
      </c>
      <c r="AS38" s="316" t="str">
        <f t="shared" si="13"/>
        <v/>
      </c>
      <c r="AT38" s="309" t="str">
        <f t="shared" si="30"/>
        <v/>
      </c>
      <c r="AU38" s="285" t="str">
        <f t="shared" si="27"/>
        <v/>
      </c>
      <c r="AV38" s="597"/>
      <c r="AW38" s="527" t="str">
        <f t="shared" si="28"/>
        <v/>
      </c>
      <c r="AX38" s="291" t="str">
        <f t="shared" si="29"/>
        <v/>
      </c>
      <c r="AY38" s="292" t="str">
        <f t="shared" si="25"/>
        <v/>
      </c>
      <c r="AZ38" s="317" t="str">
        <f t="shared" si="14"/>
        <v/>
      </c>
      <c r="BA38" s="316" t="str">
        <f t="shared" si="26"/>
        <v/>
      </c>
      <c r="BB38" s="285" t="str">
        <f t="shared" si="36"/>
        <v/>
      </c>
    </row>
    <row r="39" spans="1:54" ht="24" customHeight="1">
      <c r="A39" s="38" t="str">
        <f>IF(E39&lt;&gt;"",SUMPRODUCT(--(G39&gt;$G$4:$G$40))+COUNTIF($G$4:G39,G39),"")</f>
        <v/>
      </c>
      <c r="B39" s="38" t="str">
        <f>IF(E39&lt;&gt;"",SUMPRODUCT(--(I39&gt;$I$4:$I$40))+COUNTIF($I$4:I39,I39),"")</f>
        <v/>
      </c>
      <c r="C39" s="38" t="str">
        <f t="shared" si="16"/>
        <v/>
      </c>
      <c r="D39" s="38" t="str">
        <f>IF(E39&lt;&gt;"",COUNTIFS(A:A,"&lt;"&amp;A39)+COUNTIF($A$4:A39,A39),"")</f>
        <v/>
      </c>
      <c r="E39" s="278" t="str">
        <f>IF(Liste!B38&lt;&gt;"",Liste!B38,"")</f>
        <v/>
      </c>
      <c r="F39" s="279" t="str">
        <f>IF(Liste!C38&lt;&gt;"",Liste!C38,"")</f>
        <v/>
      </c>
      <c r="G39" s="280" t="str">
        <f>IF(E39&lt;&gt;"",IF(Perf.Sprint!$AK39&lt;&gt;"",Perf.Sprint!$AK39,100),"")</f>
        <v/>
      </c>
      <c r="H39" s="281" t="str">
        <f>IF(F39&lt;&gt;"",IF(Perf.Sprint!$AM39&lt;&gt;"",Perf.Sprint!$AM39,100),"")</f>
        <v/>
      </c>
      <c r="I39" s="280" t="str">
        <f>IF(E39&lt;&gt;"",IF(Perf.Sprint!$AX39&lt;&gt;"",Perf.Sprint!$AX39,100),"")</f>
        <v/>
      </c>
      <c r="J39" s="281" t="str">
        <f>IF(H39&lt;&gt;"",IF(Perf.Sprint!$AZ39&lt;&gt;"",Perf.Sprint!$AZ39,100),"")</f>
        <v/>
      </c>
      <c r="K39" s="263">
        <v>36</v>
      </c>
      <c r="L39" s="20" t="str">
        <f t="array" ref="L39">IF(ROWS($2:37)&lt;=COUNTIF($F$4:$F$40,"F"),INDEX($E$4:$E$40,SMALL(IF($F$4:$F$40="F",MATCH($E$4:$E$40,$E$4:$E$40,0)),ROWS($2:37))),"")</f>
        <v/>
      </c>
      <c r="M39" s="38" t="str">
        <f>INDEX($F$4:$F$40,MATCH($L39,$E$4:$E$40,0))</f>
        <v/>
      </c>
      <c r="N39" s="38" t="str">
        <f>INDEX($G$4:$G$40,MATCH($L39,$E$4:$E$40,0))</f>
        <v/>
      </c>
      <c r="O39" s="38" t="str">
        <f t="shared" si="17"/>
        <v/>
      </c>
      <c r="P39" s="38" t="str">
        <f>INDEX($I$4:$I$40,MATCH($L39,$E$4:$E$40,0))</f>
        <v/>
      </c>
      <c r="Q39" s="38" t="str">
        <f t="shared" si="18"/>
        <v/>
      </c>
      <c r="R39" s="38" t="str">
        <f>IF(L39&lt;&gt;"",SUMPRODUCT(--(N39&gt;$N$4:$N$40))+COUNTIF($N$4:N39,N39),"")</f>
        <v/>
      </c>
      <c r="S39" s="38" t="str">
        <f>IF(L39&lt;&gt;"",SUMPRODUCT(--(P39&gt;$P$4:$P$40))+COUNTIF($P$4:P39,P39),"")</f>
        <v/>
      </c>
      <c r="T39" s="307" t="str">
        <f t="shared" si="19"/>
        <v/>
      </c>
      <c r="U39" s="38" t="str">
        <f>IF(T39&lt;&gt;"",SUMPRODUCT(--(T39&gt;$T$4:$T$40))+COUNTIF(T$4:$T39,T39),"")</f>
        <v/>
      </c>
      <c r="V39" s="282"/>
      <c r="W39" s="527" t="str">
        <f t="shared" si="20"/>
        <v/>
      </c>
      <c r="X39" s="288" t="str">
        <f t="shared" si="31"/>
        <v/>
      </c>
      <c r="Y39" s="289" t="str">
        <f t="shared" si="3"/>
        <v/>
      </c>
      <c r="Z39" s="290" t="str">
        <f t="shared" si="4"/>
        <v/>
      </c>
      <c r="AA39" s="313" t="str">
        <f>IF(INDEX($P$4:$P$40,MATCH($X39,$L$4:$L$40,0))="100","",INDEX($P$4:$P$40,MATCH($X39,$L$4:$L$40,0)))</f>
        <v/>
      </c>
      <c r="AB39" s="309" t="str">
        <f t="shared" si="21"/>
        <v/>
      </c>
      <c r="AC39" s="290" t="str">
        <f t="shared" si="34"/>
        <v/>
      </c>
      <c r="AD39" s="20" t="str">
        <f t="array" ref="AD39">IF(ROWS($2:37)&lt;=COUNTIF($F$4:$F$40,"M"),INDEX($E$4:$E$40,SMALL(IF($F$4:$F$40="M",MATCH($E$4:$E$40,$E$4:$E$40,0)),ROWS($2:37))),"")</f>
        <v/>
      </c>
      <c r="AE39" s="38" t="str">
        <f>INDEX($F$4:$F$40,MATCH($AD39,$E$4:$E$40,0))</f>
        <v/>
      </c>
      <c r="AF39" s="38" t="str">
        <f>INDEX($G$4:$G$40,MATCH($AD39,$E$4:$E$40,0))</f>
        <v/>
      </c>
      <c r="AG39" s="38" t="str">
        <f t="shared" si="22"/>
        <v/>
      </c>
      <c r="AH39" s="38" t="str">
        <f>INDEX($I$4:$I$40,MATCH($AD39,$E$4:$E$40,0))</f>
        <v/>
      </c>
      <c r="AI39" s="38" t="str">
        <f t="shared" si="23"/>
        <v/>
      </c>
      <c r="AJ39" s="38" t="str">
        <f>IF(AD39&lt;&gt;"",SUMPRODUCT(--(AF39&gt;$AF$4:$AF$40))+COUNTIF($AF$4:AF39,AF39),"")</f>
        <v/>
      </c>
      <c r="AK39" s="38" t="str">
        <f>IF(AD39&lt;&gt;"",SUMPRODUCT(--(AH39&gt;$AH$4:$AH$40))+COUNTIF($AH$4:AH39,AH39),"")</f>
        <v/>
      </c>
      <c r="AL39" s="307" t="str">
        <f t="shared" si="24"/>
        <v/>
      </c>
      <c r="AM39" s="38" t="str">
        <f>IF(AD39&lt;&gt;"",COUNTIFS(AJ:AJ,"&lt;"&amp;AJ39)+COUNTIF($AJ$4:AJ39,AJ39),"")</f>
        <v/>
      </c>
      <c r="AN39" s="282"/>
      <c r="AO39" s="527" t="str">
        <f>IFERROR(SMALL($AJ$4:$AJ$40,$K39),"")</f>
        <v/>
      </c>
      <c r="AP39" s="288" t="str">
        <f t="shared" si="32"/>
        <v/>
      </c>
      <c r="AQ39" s="289" t="str">
        <f t="shared" si="11"/>
        <v/>
      </c>
      <c r="AR39" s="314" t="str">
        <f t="shared" si="33"/>
        <v/>
      </c>
      <c r="AS39" s="313" t="str">
        <f t="shared" si="13"/>
        <v/>
      </c>
      <c r="AT39" s="309" t="str">
        <f t="shared" si="30"/>
        <v/>
      </c>
      <c r="AU39" s="314" t="str">
        <f t="shared" si="27"/>
        <v/>
      </c>
      <c r="AV39" s="597"/>
      <c r="AW39" s="527" t="str">
        <f t="shared" si="28"/>
        <v/>
      </c>
      <c r="AX39" s="288" t="str">
        <f t="shared" si="29"/>
        <v/>
      </c>
      <c r="AY39" s="289" t="str">
        <f t="shared" si="25"/>
        <v/>
      </c>
      <c r="AZ39" s="315" t="str">
        <f t="shared" si="14"/>
        <v/>
      </c>
      <c r="BA39" s="313" t="str">
        <f t="shared" si="26"/>
        <v/>
      </c>
      <c r="BB39" s="290" t="str">
        <f t="shared" si="36"/>
        <v/>
      </c>
    </row>
    <row r="40" spans="1:54" ht="23.25" customHeight="1" thickBot="1">
      <c r="A40" s="38" t="str">
        <f>IF(E40&lt;&gt;"",SUMPRODUCT(--(G40&gt;$G$4:$G$40))+COUNTIF($G$4:G40,G40),"")</f>
        <v/>
      </c>
      <c r="B40" s="38" t="str">
        <f>IF(E40&lt;&gt;"",SUMPRODUCT(--(I40&gt;$I$4:$I$40))+COUNTIF($I$4:I40,I40),"")</f>
        <v/>
      </c>
      <c r="C40" s="38" t="str">
        <f t="shared" si="16"/>
        <v/>
      </c>
      <c r="D40" s="38" t="str">
        <f>IF(E40&lt;&gt;"",COUNTIFS(A:A,"&lt;"&amp;A40)+COUNTIF($A$4:A40,A40),"")</f>
        <v/>
      </c>
      <c r="E40" s="278" t="str">
        <f>IF(Liste!B39&lt;&gt;"",Liste!B39,"")</f>
        <v/>
      </c>
      <c r="F40" s="279" t="str">
        <f>IF(Liste!C39&lt;&gt;"",Liste!C39,"")</f>
        <v/>
      </c>
      <c r="G40" s="280" t="str">
        <f>IF(E40&lt;&gt;"",IF(Perf.Sprint!$AK40&lt;&gt;"",Perf.Sprint!$AK40,100),"")</f>
        <v/>
      </c>
      <c r="H40" s="281" t="str">
        <f>IF(F40&lt;&gt;"",IF(Perf.Sprint!$AM40&lt;&gt;"",Perf.Sprint!$AM40,100),"")</f>
        <v/>
      </c>
      <c r="I40" s="280" t="str">
        <f>IF(E40&lt;&gt;"",IF(Perf.Sprint!$AX40&lt;&gt;"",Perf.Sprint!$AX40,100),"")</f>
        <v/>
      </c>
      <c r="J40" s="281" t="str">
        <f>IF(H40&lt;&gt;"",IF(Perf.Sprint!$AZ40&lt;&gt;"",Perf.Sprint!$AZ40,100),"")</f>
        <v/>
      </c>
      <c r="K40" s="263">
        <v>37</v>
      </c>
      <c r="L40" s="20" t="str">
        <f t="array" ref="L40">IF(ROWS($2:38)&lt;=COUNTIF($F$4:$F$40,"F"),INDEX($E$4:$E$40,SMALL(IF($F$4:$F$40="F",MATCH($E$4:$E$40,$E$4:$E$40,0)),ROWS($2:38))),"")</f>
        <v/>
      </c>
      <c r="M40" s="38" t="str">
        <f>INDEX($F$4:$F$40,MATCH($L40,$E$4:$E$40,0))</f>
        <v/>
      </c>
      <c r="N40" s="38" t="str">
        <f>INDEX($G$4:$G$40,MATCH($L40,$E$4:$E$40,0))</f>
        <v/>
      </c>
      <c r="O40" s="38" t="str">
        <f t="shared" si="17"/>
        <v/>
      </c>
      <c r="P40" s="38" t="str">
        <f>INDEX($I$4:$I$40,MATCH($L40,$E$4:$E$40,0))</f>
        <v/>
      </c>
      <c r="Q40" s="38" t="str">
        <f t="shared" si="18"/>
        <v/>
      </c>
      <c r="R40" s="38" t="str">
        <f>IF(L40&lt;&gt;"",SUMPRODUCT(--(N40&gt;$N$4:$N$40))+COUNTIF($N$4:N40,N40),"")</f>
        <v/>
      </c>
      <c r="S40" s="38" t="str">
        <f>IF(L40&lt;&gt;"",SUMPRODUCT(--(P40&gt;$P$4:$P$40))+COUNTIF($P$4:P40,P40),"")</f>
        <v/>
      </c>
      <c r="T40" s="307" t="str">
        <f t="shared" si="19"/>
        <v/>
      </c>
      <c r="U40" s="38" t="str">
        <f>IF(T40&lt;&gt;"",SUMPRODUCT(--(T40&gt;$T$4:$T$40))+COUNTIF(T$4:$T40,T40),"")</f>
        <v/>
      </c>
      <c r="V40" s="282"/>
      <c r="W40" s="319" t="str">
        <f t="shared" si="20"/>
        <v/>
      </c>
      <c r="X40" s="294" t="str">
        <f t="shared" ref="X40" si="37">INDEX($L$4:$L$40,MATCH($W$4:$W$40,$U$4:$U$40,0))</f>
        <v/>
      </c>
      <c r="Y40" s="297" t="str">
        <f t="shared" si="3"/>
        <v/>
      </c>
      <c r="Z40" s="296" t="str">
        <f t="shared" si="4"/>
        <v/>
      </c>
      <c r="AA40" s="295" t="str">
        <f>IF(INDEX($P$4:$P$40,MATCH($X40,$L$4:$L$40,0))="100","",INDEX($P$4:$P$40,MATCH($X40,$L$4:$L$40,0)))</f>
        <v/>
      </c>
      <c r="AB40" s="318" t="str">
        <f t="shared" si="21"/>
        <v/>
      </c>
      <c r="AC40" s="296" t="str">
        <f t="shared" si="34"/>
        <v/>
      </c>
      <c r="AD40" s="20" t="str">
        <f t="array" ref="AD40">IF(ROWS($2:38)&lt;=COUNTIF($F$4:$F$40,"M"),INDEX($E$4:$E$40,SMALL(IF($F$4:$F$40="M",MATCH($E$4:$E$40,$E$4:$E$40,0)),ROWS($2:38))),"")</f>
        <v/>
      </c>
      <c r="AE40" s="38" t="str">
        <f>INDEX($F$4:$F$40,MATCH($AD40,$E$4:$E$40,0))</f>
        <v/>
      </c>
      <c r="AF40" s="38" t="str">
        <f>INDEX($G$4:$G$40,MATCH($AD40,$E$4:$E$40,0))</f>
        <v/>
      </c>
      <c r="AG40" s="38" t="str">
        <f t="shared" si="22"/>
        <v/>
      </c>
      <c r="AH40" s="38" t="str">
        <f>INDEX($I$4:$I$40,MATCH($AD40,$E$4:$E$40,0))</f>
        <v/>
      </c>
      <c r="AI40" s="38" t="str">
        <f t="shared" si="23"/>
        <v/>
      </c>
      <c r="AJ40" s="38" t="str">
        <f>IF(AD40&lt;&gt;"",SUMPRODUCT(--(AF40&gt;$AF$4:$AF$40))+COUNTIF($AF$4:AF40,AF40),"")</f>
        <v/>
      </c>
      <c r="AK40" s="38" t="str">
        <f>IF(AD40&lt;&gt;"",SUMPRODUCT(--(AH40&gt;$AH$4:$AH$40))+COUNTIF($AH$4:AH40,AH40),"")</f>
        <v/>
      </c>
      <c r="AL40" s="307" t="str">
        <f t="shared" si="24"/>
        <v/>
      </c>
      <c r="AM40" s="38" t="str">
        <f>IF(AD40&lt;&gt;"",COUNTIFS(AJ:AJ,"&lt;"&amp;AJ40)+COUNTIF($AJ$4:AJ40,AJ40),"")</f>
        <v/>
      </c>
      <c r="AN40" s="282"/>
      <c r="AO40" s="319" t="str">
        <f>IFERROR(SMALL($AJ$4:$AJ$40,$K40),"")</f>
        <v/>
      </c>
      <c r="AP40" s="294" t="str">
        <f t="shared" si="32"/>
        <v/>
      </c>
      <c r="AQ40" s="297" t="str">
        <f t="shared" si="11"/>
        <v/>
      </c>
      <c r="AR40" s="296" t="str">
        <f t="shared" si="33"/>
        <v/>
      </c>
      <c r="AS40" s="295" t="str">
        <f t="shared" si="13"/>
        <v/>
      </c>
      <c r="AT40" s="318" t="str">
        <f t="shared" si="30"/>
        <v/>
      </c>
      <c r="AU40" s="296" t="str">
        <f t="shared" si="27"/>
        <v/>
      </c>
      <c r="AV40" s="597"/>
      <c r="AW40" s="319" t="str">
        <f t="shared" si="28"/>
        <v/>
      </c>
      <c r="AX40" s="294" t="str">
        <f t="shared" si="29"/>
        <v/>
      </c>
      <c r="AY40" s="297" t="str">
        <f t="shared" si="25"/>
        <v/>
      </c>
      <c r="AZ40" s="296" t="str">
        <f t="shared" si="14"/>
        <v/>
      </c>
      <c r="BA40" s="295" t="str">
        <f t="shared" si="26"/>
        <v/>
      </c>
      <c r="BB40" s="296" t="str">
        <f t="shared" si="36"/>
        <v/>
      </c>
    </row>
    <row r="41" spans="1:54">
      <c r="F41" s="72"/>
      <c r="G41" s="72"/>
      <c r="H41" s="72"/>
      <c r="I41" s="72"/>
      <c r="J41" s="72"/>
      <c r="AA41" s="320"/>
      <c r="AB41" s="298"/>
      <c r="AK41" s="83"/>
      <c r="AL41" s="24"/>
      <c r="AR41" s="320"/>
      <c r="AS41" s="320"/>
      <c r="AV41" s="595"/>
    </row>
    <row r="42" spans="1:54" hidden="1">
      <c r="F42" s="72"/>
      <c r="G42" s="72"/>
      <c r="H42" s="72"/>
      <c r="I42" s="72"/>
      <c r="J42" s="72"/>
      <c r="AK42" s="83"/>
      <c r="AL42" s="24"/>
    </row>
    <row r="43" spans="1:54" hidden="1">
      <c r="AK43" s="83"/>
      <c r="AL43" s="24"/>
    </row>
    <row r="44" spans="1:54"/>
  </sheetData>
  <sheetProtection sheet="1" objects="1" scenarios="1" selectLockedCells="1" selectUnlockedCells="1"/>
  <mergeCells count="7">
    <mergeCell ref="A2:A3"/>
    <mergeCell ref="B2:B3"/>
    <mergeCell ref="X2:X3"/>
    <mergeCell ref="AP2:AP3"/>
    <mergeCell ref="AX2:AX3"/>
    <mergeCell ref="G2:H2"/>
    <mergeCell ref="I2:J2"/>
  </mergeCells>
  <conditionalFormatting sqref="AC4:AC40">
    <cfRule type="expression" dxfId="0" priority="1">
      <formula>$AB4&lt;0</formula>
    </cfRule>
  </conditionalFormatting>
  <printOptions horizontalCentered="1" verticalCentered="1"/>
  <pageMargins left="0.19685039370078741" right="0.19685039370078741" top="0.19685039370078741" bottom="0.19685039370078741" header="0.11811023622047245" footer="0"/>
  <pageSetup paperSize="9" scale="57" orientation="landscape" r:id="rId1"/>
  <headerFooter>
    <oddHeader>&amp;L&amp;F&amp;R&amp;D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AC20F-5429-4CBE-BC8B-83F69BE1DF59}">
  <sheetPr>
    <pageSetUpPr fitToPage="1"/>
  </sheetPr>
  <dimension ref="A1:V48"/>
  <sheetViews>
    <sheetView showGridLines="0" showRowColHeaders="0" topLeftCell="C1" zoomScaleNormal="100" workbookViewId="0">
      <selection activeCell="T24" sqref="T24"/>
    </sheetView>
  </sheetViews>
  <sheetFormatPr baseColWidth="10" defaultColWidth="0" defaultRowHeight="15" customHeight="1" zeroHeight="1"/>
  <cols>
    <col min="1" max="2" width="10.7109375" style="20" hidden="1" customWidth="1"/>
    <col min="3" max="22" width="10.7109375" style="20" customWidth="1"/>
    <col min="23" max="16384" width="11.42578125" style="20" hidden="1"/>
  </cols>
  <sheetData>
    <row r="1" spans="7:19"/>
    <row r="2" spans="7:19" ht="15.75" thickBot="1"/>
    <row r="3" spans="7:19" ht="27" thickBot="1">
      <c r="G3" s="656" t="s">
        <v>50</v>
      </c>
      <c r="H3" s="657"/>
      <c r="I3" s="657"/>
      <c r="J3" s="657"/>
      <c r="K3" s="657"/>
      <c r="L3" s="657"/>
      <c r="M3" s="657"/>
      <c r="N3" s="657"/>
      <c r="O3" s="657"/>
      <c r="P3" s="657"/>
      <c r="Q3" s="657"/>
      <c r="R3" s="657"/>
      <c r="S3" s="658"/>
    </row>
    <row r="4" spans="7:19"/>
    <row r="5" spans="7:19"/>
    <row r="6" spans="7:19"/>
    <row r="7" spans="7:19"/>
    <row r="8" spans="7:19"/>
    <row r="9" spans="7:19"/>
    <row r="10" spans="7:19"/>
    <row r="11" spans="7:19"/>
    <row r="12" spans="7:19"/>
    <row r="13" spans="7:19"/>
    <row r="14" spans="7:19"/>
    <row r="15" spans="7:19"/>
    <row r="16" spans="7:19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</sheetData>
  <sheetProtection sheet="1" objects="1" scenarios="1" selectLockedCells="1" selectUnlockedCells="1"/>
  <mergeCells count="1">
    <mergeCell ref="G3:S3"/>
  </mergeCells>
  <pageMargins left="0.7" right="0.7" top="0.75" bottom="0.75" header="0.3" footer="0.3"/>
  <pageSetup paperSize="9" scale="65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32</vt:i4>
      </vt:variant>
    </vt:vector>
  </HeadingPairs>
  <TitlesOfParts>
    <vt:vector size="45" baseType="lpstr">
      <vt:lpstr>Accueil</vt:lpstr>
      <vt:lpstr>Liste</vt:lpstr>
      <vt:lpstr>Barème</vt:lpstr>
      <vt:lpstr>Notes</vt:lpstr>
      <vt:lpstr>Dispositif Chrono</vt:lpstr>
      <vt:lpstr>Perf.Sprint</vt:lpstr>
      <vt:lpstr>Clt 15m</vt:lpstr>
      <vt:lpstr>Clt 30m</vt:lpstr>
      <vt:lpstr>Dispositif Relais</vt:lpstr>
      <vt:lpstr>Compo.Relais(1)</vt:lpstr>
      <vt:lpstr>Perf.Relais(1)</vt:lpstr>
      <vt:lpstr>Compo.Relais(2)</vt:lpstr>
      <vt:lpstr>Perf.Relais(2)</vt:lpstr>
      <vt:lpstr>Ecart_Indice</vt:lpstr>
      <vt:lpstr>Ecart1</vt:lpstr>
      <vt:lpstr>F_10m</vt:lpstr>
      <vt:lpstr>F_15m</vt:lpstr>
      <vt:lpstr>F_40m</vt:lpstr>
      <vt:lpstr>F_50m</vt:lpstr>
      <vt:lpstr>F10m</vt:lpstr>
      <vt:lpstr>F15m</vt:lpstr>
      <vt:lpstr>F40m</vt:lpstr>
      <vt:lpstr>F50m</vt:lpstr>
      <vt:lpstr>Frel</vt:lpstr>
      <vt:lpstr>Indice</vt:lpstr>
      <vt:lpstr>M_10m</vt:lpstr>
      <vt:lpstr>M_15m</vt:lpstr>
      <vt:lpstr>M_40m</vt:lpstr>
      <vt:lpstr>M_50m</vt:lpstr>
      <vt:lpstr>M10m</vt:lpstr>
      <vt:lpstr>M15m</vt:lpstr>
      <vt:lpstr>M40m</vt:lpstr>
      <vt:lpstr>M50m</vt:lpstr>
      <vt:lpstr>Mrel</vt:lpstr>
      <vt:lpstr>Pts_Zone</vt:lpstr>
      <vt:lpstr>rel</vt:lpstr>
      <vt:lpstr>relais</vt:lpstr>
      <vt:lpstr>relaisf</vt:lpstr>
      <vt:lpstr>relaisg</vt:lpstr>
      <vt:lpstr>Zone</vt:lpstr>
      <vt:lpstr>'Clt 15m'!Zone_d_impression</vt:lpstr>
      <vt:lpstr>'Clt 30m'!Zone_d_impression</vt:lpstr>
      <vt:lpstr>Liste!Zone_d_impression</vt:lpstr>
      <vt:lpstr>Notes!Zone_d_impression</vt:lpstr>
      <vt:lpstr>Perf.Sprint!Zone_d_impression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Stéphane HOAREAU</dc:creator>
  <cp:lastModifiedBy>Stéphane HOAREAU</cp:lastModifiedBy>
  <cp:lastPrinted>2025-04-17T02:16:37Z</cp:lastPrinted>
  <dcterms:created xsi:type="dcterms:W3CDTF">2024-05-16T18:18:07Z</dcterms:created>
  <dcterms:modified xsi:type="dcterms:W3CDTF">2025-06-11T15:21:09Z</dcterms:modified>
</cp:coreProperties>
</file>